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Julio/Morelos/"/>
    </mc:Choice>
  </mc:AlternateContent>
  <xr:revisionPtr revIDLastSave="1" documentId="13_ncr:1_{BBD8EF53-E69A-4973-8000-BE4917371A1D}" xr6:coauthVersionLast="47" xr6:coauthVersionMax="47" xr10:uidLastSave="{752C7BD8-B6F6-4DE1-8662-8C2D33C2A71D}"/>
  <bookViews>
    <workbookView xWindow="-110" yWindow="-110" windowWidth="19420" windowHeight="10300" xr2:uid="{979455BA-0754-495E-B9C6-A0A2D3A3EEFC}"/>
  </bookViews>
  <sheets>
    <sheet name="JULIO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JULIO!$A$6:$S$82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JULIO!$6:$6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32" i="5" l="1"/>
  <c r="P211" i="5"/>
  <c r="P210" i="5"/>
  <c r="P209" i="5"/>
  <c r="P208" i="5"/>
  <c r="P207" i="5"/>
  <c r="P206" i="5"/>
  <c r="P205" i="5"/>
  <c r="P204" i="5"/>
  <c r="P203" i="5"/>
  <c r="P202" i="5"/>
  <c r="P201" i="5"/>
  <c r="P200" i="5"/>
  <c r="P199" i="5"/>
  <c r="P198" i="5"/>
  <c r="P197" i="5"/>
  <c r="P196" i="5"/>
  <c r="P195" i="5"/>
  <c r="P194" i="5"/>
  <c r="P193" i="5"/>
  <c r="P192" i="5"/>
  <c r="P191" i="5"/>
  <c r="P190" i="5"/>
  <c r="P189" i="5"/>
  <c r="S188" i="5" l="1"/>
  <c r="R188" i="5" s="1"/>
  <c r="S187" i="5"/>
  <c r="R187" i="5" s="1"/>
  <c r="S186" i="5"/>
  <c r="R186" i="5"/>
  <c r="S185" i="5"/>
  <c r="R185" i="5"/>
  <c r="S184" i="5"/>
  <c r="R184" i="5" s="1"/>
  <c r="S183" i="5"/>
  <c r="R183" i="5"/>
  <c r="S182" i="5"/>
  <c r="R182" i="5" s="1"/>
  <c r="S180" i="5"/>
  <c r="R180" i="5" s="1"/>
  <c r="S179" i="5"/>
  <c r="R179" i="5"/>
  <c r="S173" i="5"/>
  <c r="R173" i="5"/>
  <c r="S171" i="5"/>
  <c r="R171" i="5"/>
  <c r="S170" i="5"/>
  <c r="S168" i="5" l="1"/>
  <c r="R168" i="5"/>
  <c r="S167" i="5"/>
  <c r="R167" i="5"/>
  <c r="S166" i="5"/>
  <c r="R166" i="5"/>
  <c r="S165" i="5"/>
  <c r="R165" i="5"/>
  <c r="R164" i="5" l="1"/>
  <c r="S164" i="5" s="1"/>
  <c r="R163" i="5"/>
  <c r="S163" i="5" s="1"/>
  <c r="R162" i="5"/>
  <c r="S162" i="5" s="1"/>
  <c r="P162" i="5"/>
  <c r="R161" i="5"/>
  <c r="S161" i="5" s="1"/>
  <c r="P161" i="5"/>
  <c r="P160" i="5"/>
  <c r="R160" i="5" s="1"/>
  <c r="S160" i="5" s="1"/>
  <c r="P159" i="5"/>
  <c r="R159" i="5" s="1"/>
  <c r="S159" i="5" s="1"/>
  <c r="P158" i="5"/>
  <c r="R158" i="5" s="1"/>
  <c r="S158" i="5" s="1"/>
  <c r="P157" i="5"/>
  <c r="R157" i="5" s="1"/>
  <c r="S157" i="5" s="1"/>
  <c r="P156" i="5"/>
  <c r="R156" i="5" s="1"/>
  <c r="S156" i="5" s="1"/>
  <c r="P155" i="5"/>
  <c r="R155" i="5" s="1"/>
  <c r="S155" i="5" s="1"/>
  <c r="P154" i="5"/>
  <c r="R154" i="5" s="1"/>
  <c r="S154" i="5" s="1"/>
  <c r="P153" i="5"/>
  <c r="R153" i="5" s="1"/>
  <c r="S153" i="5" s="1"/>
  <c r="R152" i="5"/>
  <c r="S152" i="5" s="1"/>
  <c r="P151" i="5"/>
  <c r="R151" i="5" s="1"/>
  <c r="S151" i="5" s="1"/>
  <c r="P150" i="5"/>
  <c r="R150" i="5" s="1"/>
  <c r="S150" i="5" s="1"/>
  <c r="P149" i="5"/>
  <c r="R149" i="5" s="1"/>
  <c r="S149" i="5" s="1"/>
  <c r="P148" i="5"/>
  <c r="R148" i="5" s="1"/>
  <c r="S148" i="5" s="1"/>
  <c r="P147" i="5"/>
  <c r="R147" i="5" s="1"/>
  <c r="S147" i="5" s="1"/>
  <c r="P146" i="5"/>
  <c r="R146" i="5" s="1"/>
  <c r="S146" i="5" s="1"/>
  <c r="P145" i="5"/>
  <c r="R145" i="5" s="1"/>
  <c r="S145" i="5" s="1"/>
  <c r="P144" i="5"/>
  <c r="R144" i="5" s="1"/>
  <c r="S144" i="5" s="1"/>
  <c r="R143" i="5"/>
  <c r="S143" i="5" s="1"/>
  <c r="R142" i="5"/>
  <c r="S142" i="5" s="1"/>
  <c r="P141" i="5"/>
  <c r="R141" i="5" s="1"/>
  <c r="S141" i="5" s="1"/>
  <c r="P140" i="5"/>
  <c r="R140" i="5" s="1"/>
  <c r="S140" i="5" s="1"/>
  <c r="P139" i="5"/>
  <c r="R139" i="5" s="1"/>
  <c r="S139" i="5" s="1"/>
  <c r="P138" i="5"/>
  <c r="R138" i="5" s="1"/>
  <c r="S138" i="5" s="1"/>
  <c r="P137" i="5"/>
  <c r="R137" i="5" s="1"/>
  <c r="S137" i="5" s="1"/>
  <c r="R136" i="5"/>
  <c r="S136" i="5" s="1"/>
  <c r="P136" i="5"/>
  <c r="P135" i="5"/>
  <c r="R135" i="5" s="1"/>
  <c r="S135" i="5" s="1"/>
  <c r="R134" i="5"/>
  <c r="S134" i="5" s="1"/>
  <c r="P133" i="5"/>
  <c r="R133" i="5" s="1"/>
  <c r="S133" i="5" s="1"/>
  <c r="P132" i="5"/>
  <c r="R132" i="5" s="1"/>
  <c r="S132" i="5" s="1"/>
  <c r="P131" i="5"/>
  <c r="R131" i="5" s="1"/>
  <c r="S131" i="5" s="1"/>
  <c r="P130" i="5"/>
  <c r="R130" i="5" s="1"/>
  <c r="S130" i="5" s="1"/>
  <c r="P129" i="5"/>
  <c r="R129" i="5" s="1"/>
  <c r="S129" i="5" s="1"/>
  <c r="R128" i="5"/>
  <c r="S128" i="5" s="1"/>
  <c r="R127" i="5"/>
  <c r="S127" i="5" s="1"/>
  <c r="R126" i="5"/>
  <c r="S126" i="5" s="1"/>
  <c r="P125" i="5"/>
  <c r="R125" i="5" s="1"/>
  <c r="S125" i="5" s="1"/>
  <c r="R124" i="5"/>
  <c r="S124" i="5" s="1"/>
  <c r="R123" i="5"/>
  <c r="S123" i="5" s="1"/>
  <c r="R122" i="5"/>
  <c r="S122" i="5" s="1"/>
  <c r="R121" i="5"/>
  <c r="S121" i="5" s="1"/>
  <c r="R120" i="5"/>
  <c r="S120" i="5" s="1"/>
  <c r="R119" i="5"/>
  <c r="S119" i="5" s="1"/>
  <c r="R118" i="5"/>
  <c r="S118" i="5" s="1"/>
  <c r="P117" i="5"/>
  <c r="R117" i="5" s="1"/>
  <c r="S117" i="5" s="1"/>
  <c r="R116" i="5"/>
  <c r="S116" i="5" s="1"/>
  <c r="R115" i="5"/>
  <c r="S115" i="5" s="1"/>
  <c r="P114" i="5"/>
  <c r="R114" i="5" s="1"/>
  <c r="S114" i="5" s="1"/>
  <c r="P113" i="5"/>
  <c r="R113" i="5" s="1"/>
  <c r="S113" i="5" s="1"/>
  <c r="P112" i="5"/>
  <c r="R112" i="5" s="1"/>
  <c r="S112" i="5" s="1"/>
  <c r="P111" i="5"/>
  <c r="R111" i="5" s="1"/>
  <c r="S111" i="5" s="1"/>
  <c r="P110" i="5"/>
  <c r="R110" i="5" s="1"/>
  <c r="S110" i="5" s="1"/>
  <c r="P109" i="5"/>
  <c r="R109" i="5" s="1"/>
  <c r="S109" i="5" s="1"/>
  <c r="P108" i="5"/>
  <c r="R108" i="5" s="1"/>
  <c r="S108" i="5" s="1"/>
  <c r="R107" i="5"/>
  <c r="S107" i="5" s="1"/>
  <c r="R106" i="5"/>
  <c r="S106" i="5" s="1"/>
  <c r="R105" i="5"/>
  <c r="S105" i="5" s="1"/>
  <c r="R104" i="5"/>
  <c r="S104" i="5" s="1"/>
  <c r="R103" i="5"/>
  <c r="S103" i="5" s="1"/>
  <c r="R102" i="5"/>
  <c r="S102" i="5" s="1"/>
  <c r="R101" i="5"/>
  <c r="S101" i="5" s="1"/>
  <c r="R100" i="5"/>
  <c r="S100" i="5" s="1"/>
  <c r="R99" i="5"/>
  <c r="S99" i="5" s="1"/>
  <c r="R98" i="5"/>
  <c r="S98" i="5" s="1"/>
  <c r="R97" i="5"/>
  <c r="S97" i="5" s="1"/>
  <c r="R96" i="5"/>
  <c r="S96" i="5" s="1"/>
  <c r="R95" i="5"/>
  <c r="S95" i="5" s="1"/>
  <c r="R94" i="5"/>
  <c r="S94" i="5" s="1"/>
  <c r="R93" i="5"/>
  <c r="S93" i="5" s="1"/>
  <c r="R92" i="5"/>
  <c r="S92" i="5" s="1"/>
  <c r="R91" i="5"/>
  <c r="S91" i="5" s="1"/>
  <c r="R90" i="5"/>
  <c r="S90" i="5" s="1"/>
  <c r="P89" i="5"/>
  <c r="R89" i="5" s="1"/>
  <c r="S89" i="5" s="1"/>
  <c r="P88" i="5"/>
  <c r="R88" i="5" s="1"/>
  <c r="S88" i="5" s="1"/>
  <c r="P87" i="5"/>
  <c r="R87" i="5" s="1"/>
  <c r="S87" i="5" s="1"/>
  <c r="R86" i="5"/>
  <c r="S86" i="5" s="1"/>
  <c r="R85" i="5"/>
  <c r="S85" i="5" s="1"/>
  <c r="R84" i="5"/>
  <c r="S84" i="5" s="1"/>
  <c r="R83" i="5"/>
  <c r="S83" i="5" s="1"/>
  <c r="R79" i="5" l="1"/>
  <c r="S79" i="5"/>
  <c r="R80" i="5"/>
  <c r="S80" i="5" s="1"/>
  <c r="R68" i="5" l="1"/>
  <c r="S68" i="5" s="1"/>
  <c r="R69" i="5"/>
  <c r="S69" i="5" s="1"/>
  <c r="R70" i="5"/>
  <c r="S70" i="5" s="1"/>
  <c r="R71" i="5"/>
  <c r="S71" i="5" s="1"/>
  <c r="R72" i="5"/>
  <c r="S72" i="5" s="1"/>
  <c r="R73" i="5"/>
  <c r="S73" i="5" s="1"/>
  <c r="R74" i="5"/>
  <c r="S74" i="5" s="1"/>
  <c r="P64" i="5"/>
  <c r="R64" i="5" s="1"/>
  <c r="S64" i="5" s="1"/>
  <c r="P63" i="5"/>
  <c r="R63" i="5" s="1"/>
  <c r="S63" i="5" s="1"/>
  <c r="P62" i="5"/>
  <c r="R62" i="5" s="1"/>
  <c r="S62" i="5" s="1"/>
  <c r="P67" i="5"/>
  <c r="R67" i="5" s="1"/>
  <c r="S67" i="5" s="1"/>
  <c r="P66" i="5"/>
  <c r="R66" i="5" s="1"/>
  <c r="S66" i="5" s="1"/>
  <c r="P65" i="5"/>
  <c r="R65" i="5" s="1"/>
  <c r="S65" i="5" s="1"/>
  <c r="P61" i="5"/>
  <c r="R61" i="5" s="1"/>
  <c r="S61" i="5" s="1"/>
  <c r="P60" i="5"/>
  <c r="R60" i="5" s="1"/>
  <c r="S60" i="5" s="1"/>
  <c r="P59" i="5"/>
  <c r="R59" i="5" s="1"/>
  <c r="S59" i="5" s="1"/>
  <c r="P58" i="5"/>
  <c r="R58" i="5" s="1"/>
  <c r="S58" i="5" s="1"/>
  <c r="P57" i="5"/>
  <c r="R57" i="5" s="1"/>
  <c r="S57" i="5" s="1"/>
  <c r="P56" i="5"/>
  <c r="R56" i="5" s="1"/>
  <c r="S56" i="5" s="1"/>
  <c r="P55" i="5"/>
  <c r="R55" i="5" s="1"/>
  <c r="S55" i="5" s="1"/>
  <c r="P54" i="5"/>
  <c r="R54" i="5" s="1"/>
  <c r="S54" i="5" s="1"/>
  <c r="P53" i="5"/>
  <c r="R53" i="5" s="1"/>
  <c r="S53" i="5" s="1"/>
  <c r="P52" i="5"/>
  <c r="R52" i="5" s="1"/>
  <c r="S52" i="5" s="1"/>
  <c r="P51" i="5"/>
  <c r="R51" i="5" s="1"/>
  <c r="S51" i="5" s="1"/>
  <c r="P50" i="5"/>
  <c r="R50" i="5" s="1"/>
  <c r="S50" i="5" s="1"/>
  <c r="P49" i="5"/>
  <c r="R49" i="5" s="1"/>
  <c r="S49" i="5" s="1"/>
  <c r="P48" i="5"/>
  <c r="R48" i="5" s="1"/>
  <c r="S48" i="5" s="1"/>
  <c r="P47" i="5"/>
  <c r="R47" i="5" s="1"/>
  <c r="S47" i="5" s="1"/>
  <c r="P46" i="5"/>
  <c r="R46" i="5" s="1"/>
  <c r="S46" i="5" s="1"/>
  <c r="P45" i="5"/>
  <c r="R45" i="5" s="1"/>
  <c r="S45" i="5" s="1"/>
  <c r="P44" i="5"/>
  <c r="R44" i="5" s="1"/>
  <c r="S44" i="5" s="1"/>
  <c r="P43" i="5"/>
  <c r="R43" i="5" s="1"/>
  <c r="S43" i="5" s="1"/>
  <c r="P42" i="5"/>
  <c r="R42" i="5" s="1"/>
  <c r="S42" i="5" s="1"/>
  <c r="P41" i="5"/>
  <c r="R41" i="5" s="1"/>
  <c r="S41" i="5" s="1"/>
  <c r="P40" i="5"/>
  <c r="R40" i="5" s="1"/>
  <c r="S40" i="5" s="1"/>
  <c r="P39" i="5"/>
  <c r="R39" i="5" s="1"/>
  <c r="S39" i="5" s="1"/>
  <c r="P38" i="5"/>
  <c r="R38" i="5" s="1"/>
  <c r="S38" i="5" s="1"/>
  <c r="P37" i="5"/>
  <c r="R37" i="5" s="1"/>
  <c r="S37" i="5" s="1"/>
  <c r="P36" i="5"/>
  <c r="R36" i="5" s="1"/>
  <c r="S36" i="5" s="1"/>
  <c r="P35" i="5"/>
  <c r="R35" i="5" s="1"/>
  <c r="S35" i="5" s="1"/>
  <c r="P34" i="5"/>
  <c r="R34" i="5" s="1"/>
  <c r="S34" i="5" s="1"/>
  <c r="P33" i="5"/>
  <c r="R33" i="5" s="1"/>
  <c r="S33" i="5" s="1"/>
  <c r="P32" i="5"/>
  <c r="R32" i="5" s="1"/>
  <c r="S32" i="5" s="1"/>
  <c r="P31" i="5"/>
  <c r="R31" i="5" s="1"/>
  <c r="S31" i="5" s="1"/>
  <c r="P30" i="5"/>
  <c r="R30" i="5" s="1"/>
  <c r="S30" i="5" s="1"/>
  <c r="P29" i="5"/>
  <c r="R29" i="5" s="1"/>
  <c r="S29" i="5" s="1"/>
  <c r="P28" i="5"/>
  <c r="R28" i="5" s="1"/>
  <c r="S28" i="5" s="1"/>
  <c r="P27" i="5"/>
  <c r="R27" i="5" s="1"/>
  <c r="S27" i="5" s="1"/>
  <c r="P26" i="5"/>
  <c r="R26" i="5" s="1"/>
  <c r="S26" i="5" s="1"/>
  <c r="P25" i="5"/>
  <c r="R25" i="5" s="1"/>
  <c r="S25" i="5" s="1"/>
  <c r="P24" i="5"/>
  <c r="R24" i="5" s="1"/>
  <c r="S24" i="5" s="1"/>
  <c r="P23" i="5"/>
  <c r="R23" i="5" s="1"/>
  <c r="S23" i="5" s="1"/>
  <c r="P22" i="5"/>
  <c r="R22" i="5" s="1"/>
  <c r="S22" i="5" s="1"/>
  <c r="P21" i="5"/>
  <c r="R21" i="5" s="1"/>
  <c r="S21" i="5" s="1"/>
  <c r="P20" i="5"/>
  <c r="R20" i="5" s="1"/>
  <c r="S20" i="5" s="1"/>
  <c r="P19" i="5"/>
  <c r="R19" i="5" s="1"/>
  <c r="S19" i="5" s="1"/>
  <c r="P18" i="5"/>
  <c r="R18" i="5" s="1"/>
  <c r="S18" i="5" s="1"/>
  <c r="P17" i="5"/>
  <c r="R17" i="5" s="1"/>
  <c r="S17" i="5" s="1"/>
  <c r="P16" i="5"/>
  <c r="R16" i="5" s="1"/>
  <c r="S16" i="5" s="1"/>
  <c r="P15" i="5"/>
  <c r="R15" i="5" s="1"/>
  <c r="S15" i="5" s="1"/>
  <c r="P14" i="5"/>
  <c r="R14" i="5" s="1"/>
  <c r="S14" i="5" s="1"/>
  <c r="P13" i="5"/>
  <c r="R13" i="5" s="1"/>
  <c r="S13" i="5" s="1"/>
  <c r="P12" i="5"/>
  <c r="R12" i="5" s="1"/>
  <c r="S12" i="5" s="1"/>
  <c r="P11" i="5"/>
  <c r="R11" i="5" s="1"/>
  <c r="S11" i="5" s="1"/>
  <c r="P10" i="5"/>
  <c r="R10" i="5" s="1"/>
  <c r="S10" i="5" s="1"/>
  <c r="P9" i="5"/>
  <c r="R9" i="5" s="1"/>
  <c r="S9" i="5" s="1"/>
  <c r="P8" i="5"/>
  <c r="R8" i="5" s="1"/>
  <c r="P7" i="5"/>
  <c r="R7" i="5" s="1"/>
  <c r="S8" i="5" l="1"/>
  <c r="S7" i="5"/>
  <c r="R76" i="5"/>
  <c r="S76" i="5" s="1"/>
  <c r="R82" i="5"/>
  <c r="S82" i="5" s="1"/>
  <c r="R81" i="5"/>
  <c r="S81" i="5" s="1"/>
  <c r="R75" i="5"/>
  <c r="R78" i="5"/>
  <c r="S232" i="5" l="1"/>
  <c r="R77" i="5"/>
  <c r="P77" i="5" s="1"/>
  <c r="S75" i="5"/>
  <c r="S78" i="5"/>
  <c r="S77" i="5" l="1"/>
</calcChain>
</file>

<file path=xl/sharedStrings.xml><?xml version="1.0" encoding="utf-8"?>
<sst xmlns="http://schemas.openxmlformats.org/spreadsheetml/2006/main" count="3043" uniqueCount="482">
  <si>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</si>
  <si>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</si>
  <si>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</si>
  <si>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</si>
  <si>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</si>
  <si>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</si>
  <si>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</si>
  <si>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</si>
  <si>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</si>
  <si>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</si>
  <si>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</si>
  <si>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</si>
  <si>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</si>
  <si>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</si>
  <si>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</si>
  <si>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</si>
  <si>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</si>
  <si>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</si>
  <si>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</si>
  <si>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</si>
  <si>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</si>
  <si>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</si>
  <si>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</si>
  <si>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Junta Local Ejecutiva</t>
  </si>
  <si>
    <t>MS00</t>
  </si>
  <si>
    <t>GARRAFON  DE AGUA 20 LTS</t>
  </si>
  <si>
    <t>DISPERSION ELECTRONICA DE COMBUSTIBLE PARA SERVICIOS PUBLICOS</t>
  </si>
  <si>
    <t>22104001-0154</t>
  </si>
  <si>
    <t>26102001-0019</t>
  </si>
  <si>
    <t>SUBCONTRATACION DE SERVICIOS CON TERCEROS</t>
  </si>
  <si>
    <t>MONTO</t>
  </si>
  <si>
    <t>PESOS</t>
  </si>
  <si>
    <t>22104</t>
  </si>
  <si>
    <t>22104001-0075</t>
  </si>
  <si>
    <t>ALIMENTOS</t>
  </si>
  <si>
    <t>Programa Anual de Adquisiciones, Arrendamientos y Servicios del INE  2025(PAAASINE)</t>
  </si>
  <si>
    <t>R002</t>
  </si>
  <si>
    <t>N/A</t>
  </si>
  <si>
    <t>26103001-0031</t>
  </si>
  <si>
    <t>DISPERSION ELECTRONICA DE COMBUSTIBLE PARA SERVICIOS ADMINISTRATIVOS</t>
  </si>
  <si>
    <t>ARRENDAMIENTO DE MAQUINARIA Y EQUIPO</t>
  </si>
  <si>
    <t>SERVICIOS DE LAVANDERIA, LIMPIEZA E HIGIENE</t>
  </si>
  <si>
    <t>R005</t>
  </si>
  <si>
    <t>26103</t>
  </si>
  <si>
    <t>PIEZA</t>
  </si>
  <si>
    <t>PRODUCTOS ALIMENTICIOS PARA EL PERSONAL EN LAS 
INSTALACIONES DE LAS DEPENDENCIAS Y ENTIDADES</t>
  </si>
  <si>
    <t>MANTENIMIENTO Y CONSERVACION DE VEHICULOS TERRESTRES, 
AEREOS, MARITIMOS, LACUSTRES Y FLUVIALES</t>
  </si>
  <si>
    <t>SERVICIO TELEFONICO CONVENCIONAL</t>
  </si>
  <si>
    <t>B00MO02</t>
  </si>
  <si>
    <t>35501</t>
  </si>
  <si>
    <t>COMBUSTIBLES, LUBRICANTES Y ADITIVOS PARA VEHICULOS 
TERRESTRES, AEREOS, MARITIMOS, LACUSTRES Y FLUVIALES 
DESTINADOS A SERVICIOS PUBLICOS Y LA OPERACION DE 
PROGRAMAS PUBLICOS</t>
  </si>
  <si>
    <t>COMBUSTIBLES, LUBRICANTES Y ADITIVOS PARA VEHICULOS 
TERRESTRES, AEREOS, MARITIMOS, LACUSTRES Y FLUVIALES 
DESTINADOS A SERVICIOS ADMINISTRATIVOS</t>
  </si>
  <si>
    <t>33901</t>
  </si>
  <si>
    <t>32601</t>
  </si>
  <si>
    <t>35801</t>
  </si>
  <si>
    <t>33801</t>
  </si>
  <si>
    <t>SERVICIOS DE VIGILANCIA</t>
  </si>
  <si>
    <t>ADJUDICACIÓN DIRECTA</t>
  </si>
  <si>
    <t>INE/SERVS/JLE-MOR/07/2024</t>
  </si>
  <si>
    <t>SERVICIO</t>
  </si>
  <si>
    <t>INE/SERVS/JLE-MOR/05/2024</t>
  </si>
  <si>
    <t>INE/SERVS/JLE-MOR/04/2024</t>
  </si>
  <si>
    <t>INE/110/2022</t>
  </si>
  <si>
    <t>INE/SERVS/JLE-MOR/06/2024</t>
  </si>
  <si>
    <t>INVITACIÓN A  CUANDO MENOS 3 PERSONAS</t>
  </si>
  <si>
    <t>J13191H</t>
  </si>
  <si>
    <t>REFACCIONES Y ACCESORIOS MENORES DE MOBILIARIO Y EQUIPO DE 
ADMINISTRACION, EDUCACIONAL Y RECREATIVO</t>
  </si>
  <si>
    <t>MS01</t>
  </si>
  <si>
    <t>MS02</t>
  </si>
  <si>
    <t>MS03</t>
  </si>
  <si>
    <t>MS04</t>
  </si>
  <si>
    <t>MS05</t>
  </si>
  <si>
    <t>JULIO</t>
  </si>
  <si>
    <t>MATERIALES Y UTILES DE OFICINA</t>
  </si>
  <si>
    <t>21101001-0350</t>
  </si>
  <si>
    <t>21100074-0001</t>
  </si>
  <si>
    <t>21100081-0009</t>
  </si>
  <si>
    <t>21100013-0004</t>
  </si>
  <si>
    <t>21100014-0017</t>
  </si>
  <si>
    <t>21100017-0002</t>
  </si>
  <si>
    <t>21100033-0006</t>
  </si>
  <si>
    <t>21100036-0001</t>
  </si>
  <si>
    <t>21100036-0006</t>
  </si>
  <si>
    <t>21101001-0366</t>
  </si>
  <si>
    <t>21100044-0001</t>
  </si>
  <si>
    <t>21100058-0002</t>
  </si>
  <si>
    <t>21100058-0003</t>
  </si>
  <si>
    <t>21100105-0003</t>
  </si>
  <si>
    <t>21100074-0013</t>
  </si>
  <si>
    <t>21100041-0063</t>
  </si>
  <si>
    <t>21100072-0010</t>
  </si>
  <si>
    <t>21100013-0030</t>
  </si>
  <si>
    <t>21100087-0013</t>
  </si>
  <si>
    <t>21101001-0169</t>
  </si>
  <si>
    <t>21100091-0001</t>
  </si>
  <si>
    <t>21100094-0001</t>
  </si>
  <si>
    <t>21101001-0104</t>
  </si>
  <si>
    <t>21101001-0239</t>
  </si>
  <si>
    <t>21100023-0002</t>
  </si>
  <si>
    <t>21100114-0008</t>
  </si>
  <si>
    <t>21100011-0029</t>
  </si>
  <si>
    <t>21100036-0009</t>
  </si>
  <si>
    <t>21100036-0010</t>
  </si>
  <si>
    <t>21100127-0003</t>
  </si>
  <si>
    <t>21101001-0389</t>
  </si>
  <si>
    <t>CORDON PARA GAFETE</t>
  </si>
  <si>
    <t>BICOLOR</t>
  </si>
  <si>
    <t>BLOCK DE NOTAS POST-IT COLOR</t>
  </si>
  <si>
    <t>BOLIGRAFO PUNTO MEDIANO</t>
  </si>
  <si>
    <t>BORRADOR WS-30 GOMA BLANCA</t>
  </si>
  <si>
    <t>CAJA DE ARCHIVO MUERTO T/CARTA</t>
  </si>
  <si>
    <t>CINTA CANELA 48 X 50</t>
  </si>
  <si>
    <t>CLIP ESTANDAR # 1</t>
  </si>
  <si>
    <t>CLIPS JUMBO</t>
  </si>
  <si>
    <t>DEDAL DE HULE DEL No.13</t>
  </si>
  <si>
    <t>DESENGRAPADORA</t>
  </si>
  <si>
    <t>FOLDER T/CARTA</t>
  </si>
  <si>
    <t>FOLDER T/OFICIO</t>
  </si>
  <si>
    <t>PORTAMINAS y/o LAPICERO 0.5 m.m. (PLASTIC</t>
  </si>
  <si>
    <t>LAPIZ</t>
  </si>
  <si>
    <t>LIBRETA F/FRANCESA CUADRO GRANDE  96 hjs.</t>
  </si>
  <si>
    <t>LIGAS NUMERO  18</t>
  </si>
  <si>
    <t>MARCATEXTO ROSA</t>
  </si>
  <si>
    <t>PAPEL BOND T/CARTA 500 hjs.</t>
  </si>
  <si>
    <t>PASTA O CUBIERTA PARA ENGARGOLAR T/C</t>
  </si>
  <si>
    <t>PEGAMENTO ADHESIVO T/ LAPIZ</t>
  </si>
  <si>
    <t>PERFORADORA DOBLE ORIFICIO</t>
  </si>
  <si>
    <t>BOLIGRAFO ENERGEL DX AZUL PUNTO FINO</t>
  </si>
  <si>
    <t>BOLIGRAFO ENERGEL DX NEGRO PUNTO FINO</t>
  </si>
  <si>
    <t>REGISTRADOR  LEFORT T/CARTA</t>
  </si>
  <si>
    <t>REGLA DE PLASTICO  30 cm.</t>
  </si>
  <si>
    <t>SOBRE BOLSA DE PLASTICO T/CARTA C/VENT</t>
  </si>
  <si>
    <t>SUJETADOR DE DOCUMENTOS PRES. GRANDE</t>
  </si>
  <si>
    <t>SUJETADOR DE DOCUMENTOS PRES. MEDIANO</t>
  </si>
  <si>
    <t>TIJERA DEL  # 6</t>
  </si>
  <si>
    <t>PROTECTOR DE HOJAS T/C</t>
  </si>
  <si>
    <t>PAQUETE</t>
  </si>
  <si>
    <t>BLOC</t>
  </si>
  <si>
    <t>CAJA</t>
  </si>
  <si>
    <t>BOLSA</t>
  </si>
  <si>
    <t>JUEGO</t>
  </si>
  <si>
    <t>21101001-0365</t>
  </si>
  <si>
    <t>CAJA P/GUARDAR PAPELERIA</t>
  </si>
  <si>
    <t>21100125-0005</t>
  </si>
  <si>
    <t>TABLA DE APOYO T/CARTA</t>
  </si>
  <si>
    <t>21100013-0018</t>
  </si>
  <si>
    <t>MARCADOR PARA PINTARRON</t>
  </si>
  <si>
    <t>21101001-0299</t>
  </si>
  <si>
    <t>MARCADOR PARA PINTARRON DE 8 COLORES</t>
  </si>
  <si>
    <t>21100081-0111</t>
  </si>
  <si>
    <t>PAPEL TERMICO</t>
  </si>
  <si>
    <t>21100033-0038</t>
  </si>
  <si>
    <t>CINTA MASKING TAPE 1"</t>
  </si>
  <si>
    <t>21101001-0120</t>
  </si>
  <si>
    <t>DEDAL DE HULE N 12</t>
  </si>
  <si>
    <t>21100072-0003</t>
  </si>
  <si>
    <t>21101001-0020</t>
  </si>
  <si>
    <t>MICA TERMICA TC</t>
  </si>
  <si>
    <t>21101001-0067</t>
  </si>
  <si>
    <t>SUJETADOR DE DOCUMENTOS T/G</t>
  </si>
  <si>
    <t>21101001-0164</t>
  </si>
  <si>
    <t>GOMA DE BORRAR</t>
  </si>
  <si>
    <t>21101001-0127</t>
  </si>
  <si>
    <t>PAPEL BOND T/CARTA 75 GRS C/5000 H</t>
  </si>
  <si>
    <t>21100085-0009</t>
  </si>
  <si>
    <t>PAPEL GLOSSY T/CARTA</t>
  </si>
  <si>
    <t>ROLLO</t>
  </si>
  <si>
    <t>J13321H</t>
  </si>
  <si>
    <t>29401001-0078</t>
  </si>
  <si>
    <t>29400015-0003</t>
  </si>
  <si>
    <t>MEMORIA USB 64 GB</t>
  </si>
  <si>
    <t>MOUSE OPTICO INALAMBRICO</t>
  </si>
  <si>
    <t>COMISION POR SUMINISTRO DE COMBUSTIBLE A TRAVES DE TARJETAS ELECTRONICAS PARA EL PARQUE VEHICULAR DE LA JUNTA LOCAL EJECUTIVA PROYECTO ETIQUETADO MEDIANTE PEDIDO NO. 9310418 CORRESPONDIENTE AL MES JULIO DE 2025</t>
  </si>
  <si>
    <t>SERVICIO TELEFÓNICO EMPLEADO EN EL MES DE ENERO 2025 FACTURADO EN EL MES DE FEBRERO 2025 DEL DISTRITO 01</t>
  </si>
  <si>
    <t>SERVICIO TELEFÓNICO EMPLEADO EN EL MES DE ENERO 2025 FACTURADO EN EL MES DE FEBRERO 2025 DEL DISTRITO 02</t>
  </si>
  <si>
    <t>SERVICIO TELEFÓNICO EMPLEADO EN EL MES DE ENERO 2025 FACTURADO EN EL MES DE FEBRERO 2025 DEL DISTRITO 03</t>
  </si>
  <si>
    <t>SERVICIO TELEFÓNICO EMPLEADO EN EL MES DE ENERO 2025 FACTURADO EN EL MES DE FEBRERO 2025 DEL DISTRITO 04</t>
  </si>
  <si>
    <t>SERVICIO TELEFÓNICO EMPLEADO EN EL MES DE ENERO 2025 FACTURADO EN EL MES DE FEBRERO 2025 DEL DISTRITO 05</t>
  </si>
  <si>
    <t>SERVICIO TELEFÓNICO EMPLEADO EN EL MES DE ENERO 2025 FACTURADO EN EL MES DE FEBRERO 2025 DE LA JUNTA LOCAL EJECUTIVA</t>
  </si>
  <si>
    <t>SERVICIO DE AGUA POTABLE DEL 4TO. BIMESTRE DE 2025 EN EL EDIFICIO QUE OCUPAN LAS OFICINAS DE LA JUNTA LOCAL EJECUTIVA.</t>
  </si>
  <si>
    <t>SERVICIO DE LIMPIEZA EN LAS OFICINAS DE LA JUNTA LOCAL EJECUTIVA CORRESPONDIENTE AL MES DE JUNIO DE 2025.</t>
  </si>
  <si>
    <t>SERVICIO DE LAVADO Y ASPIRADO DE LOS VEHÍCULOS EMPLEADOS EN EL DESARROLLO DE LAS ACTIVIDADES DE LAS VOCALIAS Y DEPARTAMENTOS QUE INTEGRAN LA JUNTA LOCAL EJECUTIVA CORRESPONDIENTE AL MES DE JUNIO DE 2025</t>
  </si>
  <si>
    <t>SERVICIO DE VIGILANCIA EN LAS OFICINAS DE LA JUNTA LOCAL EJECUTIVA CORRESPONDIENTE AL MES DE JUNIO DE 2025.</t>
  </si>
  <si>
    <t>ARRENDAMIENTO DE EQUIPOS DE FOTOCOPIADO EN LAS OFICINAS DE LA JUNTA LOCAL EJECUTIVA CORRESPONDIENTE AL MES DE JUNIO DE 2025.</t>
  </si>
  <si>
    <t>ARRENDAMIENTO DE EQUIPOS DE FOTOCOPIADO EN LA OFICINA DE LA UTF DE LA JUNTA LOCAL EJECUTIVA CORRESPONDIENTE AL MES DE JUNIO DE 2025.</t>
  </si>
  <si>
    <t>R009</t>
  </si>
  <si>
    <t>B20FI01</t>
  </si>
  <si>
    <t>SERVICIO DE MANTENIMIENTO CORRECTIVO (CAMBIO DE GUIAS DE CABINA Y AJUSTE DEL CABLE TENSOR) DEL ELEVADOR QUE SE ENCUENTRA EN LAS INSTALACIONES DEL EDIFICIO DE LA JUNTA LOCAL EJECUTIVA.</t>
  </si>
  <si>
    <t>SERVICIO DE MANTENIMIENTO PREVENTIVO Y CORRECTIVO DEL ELEVADOR QUE SE ENCUENTRA EN LAS INSTALACIONES DEL EDIFICIO DE LA JUNTA LOCAL EJECUTIVA CORRESPONDIENTE AL MES DE JULIO 2025.</t>
  </si>
  <si>
    <t>067</t>
  </si>
  <si>
    <t xml:space="preserve">Servicios de telecomunicaciones </t>
  </si>
  <si>
    <t>-</t>
  </si>
  <si>
    <t>SERVICIO DE TELEVISION RESTRINGIDA CEVEM, PERIODO 28 MAY AL 27 JUN 2025</t>
  </si>
  <si>
    <t>No aplica</t>
  </si>
  <si>
    <t>Monto</t>
  </si>
  <si>
    <t>Adjudicación directa</t>
  </si>
  <si>
    <t>Mantenimiento y conservación de vehículos terrestres, aéreos, marítimos, lacustres y fluviales</t>
  </si>
  <si>
    <t xml:space="preserve"> SERVICIO DE AFINACION, FILTRO DE AIRE, ACEITE,  GASOLINA, ACEITE DE MOTOR, BUJIAS DE ENCENDIDO, LIMPIADOR DE INYECTOR Y CUERPO DE ACELERACIÓN, CAMIONETA ECONOLINE MODELO 2001 PLACAS RAV919A</t>
  </si>
  <si>
    <t>SERVICIO DE AGUA</t>
  </si>
  <si>
    <t xml:space="preserve">SERVICIO DE AGUA POTABLE, 01 JDE CUENTA 27085 </t>
  </si>
  <si>
    <t>Servicio</t>
  </si>
  <si>
    <t>SERVICIO DE AGUA POTABLE, 01 JDE CUENTA</t>
  </si>
  <si>
    <t>043</t>
  </si>
  <si>
    <t>Materiales y útiles de oficina</t>
  </si>
  <si>
    <t>21100083-0009</t>
  </si>
  <si>
    <t>SERVILLETAS DESECHABLES 500 Piezas</t>
  </si>
  <si>
    <t>21100132-0002</t>
  </si>
  <si>
    <t>CUCHARA DESECHABLE</t>
  </si>
  <si>
    <t>21100132-0007</t>
  </si>
  <si>
    <t>VASO THERMICO DESECHABLE</t>
  </si>
  <si>
    <t>21100132-0008</t>
  </si>
  <si>
    <t>VASO DE PLASTICO DESECHABLE</t>
  </si>
  <si>
    <t>Vidrio y productos de vidrio</t>
  </si>
  <si>
    <t>24501001-0010</t>
  </si>
  <si>
    <t>VIDRIO</t>
  </si>
  <si>
    <t>Pieza</t>
  </si>
  <si>
    <t>Productos alimenticios para el personal en las
instalaciones de las Unidades Responsables</t>
  </si>
  <si>
    <t>Pesos</t>
  </si>
  <si>
    <t>Material de limpieza</t>
  </si>
  <si>
    <t>21600006-0020</t>
  </si>
  <si>
    <t>BOLSA DE PLASTICO P/BASURA 50X70</t>
  </si>
  <si>
    <t>Kilogramo</t>
  </si>
  <si>
    <t>P12421H</t>
  </si>
  <si>
    <t>Productos alimenticios para el personal que realiza labores
de campo o de supervisión</t>
  </si>
  <si>
    <t>22103001-0003</t>
  </si>
  <si>
    <t>Combustibles, lubricantes y aditivos para vehículos
terrestres, aéreos, marítimos, lacustres y fluviales destinados a
servicios públicos y la operación de programas públicos</t>
  </si>
  <si>
    <t>088</t>
  </si>
  <si>
    <t>CARGO ADMINISTRATIVO</t>
  </si>
  <si>
    <t>Arrendamiento de maquinaria y equipo</t>
  </si>
  <si>
    <t>SERVICIO DE COPIADO E IMPRESIÓN PARA LA 01 JUNTA DISTRITAL EJECUTIVA, CORRESPONDIENTE AL MES DE JUNIO 2025</t>
  </si>
  <si>
    <t>Servicios de vigilancia</t>
  </si>
  <si>
    <t>SERVICIO DE VIGILANCIA PARA LA 01 JUNTA DISTRITAL EJECUTIVA, CORRESPONDIENTE AL MES DE JUNIO 2025</t>
  </si>
  <si>
    <t>Servicios de lavandería, limpieza e higiene</t>
  </si>
  <si>
    <t>SERVICIO DE LIMPIEZA DE LA 01 JUNTA DISTRITAL EJECUTIVA, MES DE JUNIO DE 2025, 2 ELEMENTOS</t>
  </si>
  <si>
    <t>DE LIMPIEZA DEL MODULO DE ATENCION CIUDADANA 170151, MES DE JUNIO 2025</t>
  </si>
  <si>
    <t>Arrendamiento de Edificios y Locales.</t>
  </si>
  <si>
    <t>ARRENDAMIENTO DEL INMUEBLE OCUPADO POR LA 01 JUNTA DISTRITAL EJECUTIVA EN EL MES DE JUNIO DE 2025</t>
  </si>
  <si>
    <t xml:space="preserve"> ARRENDAMIENTO DEL MODULO DE ATENCION CIUDADANA DE LA 01 JUNTA DISTRITAL EJECUTIVA, MES DE JUNIO</t>
  </si>
  <si>
    <t>Refacciones y accesorios para equipo de cómputo y telecomunicaciones.</t>
  </si>
  <si>
    <t>29400001-0001</t>
  </si>
  <si>
    <t xml:space="preserve">ADQUISICION DE CAPTURADORAS DE VIDEO </t>
  </si>
  <si>
    <t>Refacciones y accesorios menores otros bienes muebles</t>
  </si>
  <si>
    <t>29901001-0011</t>
  </si>
  <si>
    <t>ADQUISICION DE HORNO DE MICROONDAS</t>
  </si>
  <si>
    <t>Material Eléctrico y Electrónico</t>
  </si>
  <si>
    <t>24600011-0001</t>
  </si>
  <si>
    <t>CABLE POT</t>
  </si>
  <si>
    <t>Metro</t>
  </si>
  <si>
    <t>24601001-0479</t>
  </si>
  <si>
    <t>BASE DE BAQUELITA</t>
  </si>
  <si>
    <t>24600025-0003</t>
  </si>
  <si>
    <t>FOCO DE  40 w.</t>
  </si>
  <si>
    <t>24600025-0002</t>
  </si>
  <si>
    <t>FOCO DE  25 w.</t>
  </si>
  <si>
    <t>24601001-0329</t>
  </si>
  <si>
    <t>FOCO</t>
  </si>
  <si>
    <t>21100006-0008</t>
  </si>
  <si>
    <t>RAFIA</t>
  </si>
  <si>
    <t>24600035-0002</t>
  </si>
  <si>
    <t>SOCKET PARED DE PORCELANA</t>
  </si>
  <si>
    <t>24600010-0012</t>
  </si>
  <si>
    <t>EXTENSION ELECTRICA  6 mts.</t>
  </si>
  <si>
    <t>24601001-0409</t>
  </si>
  <si>
    <t>MULTICONTACTO DE CORRIENTE</t>
  </si>
  <si>
    <t>24600002-0001</t>
  </si>
  <si>
    <t>CINTURON DE PLASTICO (CINCHO P/CABLE ELEC.)</t>
  </si>
  <si>
    <t>24600003-0004</t>
  </si>
  <si>
    <t>CINTA DE AISLAR (PLASTICA)</t>
  </si>
  <si>
    <t>Combustibles, Lubricantes y Aditivos para Vehículos Terrestres, Aéreos, Marítimos, Lacustres y Fluviales destinados a Servicios Administrativos.</t>
  </si>
  <si>
    <t>26103001-0042</t>
  </si>
  <si>
    <t>AFLOJATODO</t>
  </si>
  <si>
    <t>Refacciones y Accesorios Menores Otros Bienes Muebles</t>
  </si>
  <si>
    <t>29900016-0001</t>
  </si>
  <si>
    <t>ASIENTO PARA W.C.</t>
  </si>
  <si>
    <t>Otros materiales y artículos de construcción y reparación</t>
  </si>
  <si>
    <t>24900013-0001</t>
  </si>
  <si>
    <t>SILICON</t>
  </si>
  <si>
    <t>Refacciones y accesorios menores de edificios</t>
  </si>
  <si>
    <t>29201001-0022</t>
  </si>
  <si>
    <t>PALANCA DE DESAGUE  TANQUE BAJO</t>
  </si>
  <si>
    <t>24600039-0001</t>
  </si>
  <si>
    <t>TIMBRE O ZUMBADOR</t>
  </si>
  <si>
    <t>21100092-0013</t>
  </si>
  <si>
    <t>PEGAMENTO KRAZY KOLA - LOKA</t>
  </si>
  <si>
    <t>29901001-0062</t>
  </si>
  <si>
    <t>MEZCLADORA PARA LAVABO</t>
  </si>
  <si>
    <t>Servicios de jardinería y fumigación</t>
  </si>
  <si>
    <t xml:space="preserve"> SERVICIO DE FUMIGACION A LAS INTALACIONES DE LA 01 JDE</t>
  </si>
  <si>
    <t>Productos alimenticios para el personal que realiza labores en campo o de supervisión</t>
  </si>
  <si>
    <t>21100033-0033</t>
  </si>
  <si>
    <t>CINTA MASKING TAPE  18 X 50</t>
  </si>
  <si>
    <t>21100003-0001</t>
  </si>
  <si>
    <t>SACAPUNTAS DE METAL ESCOLAR</t>
  </si>
  <si>
    <t>21100036-0002</t>
  </si>
  <si>
    <t>CLIP ESTANDAR # 2</t>
  </si>
  <si>
    <t>Caja</t>
  </si>
  <si>
    <t>21100013-0022</t>
  </si>
  <si>
    <t>MARCADOR TINTA PERMANENTE NEGRO</t>
  </si>
  <si>
    <t>21101001-0086</t>
  </si>
  <si>
    <t>FOLDER T/C</t>
  </si>
  <si>
    <t>Paquete</t>
  </si>
  <si>
    <t>21101001-0087</t>
  </si>
  <si>
    <t>FOLDER T/O</t>
  </si>
  <si>
    <t>21100081-0002</t>
  </si>
  <si>
    <t>BLOCK DE NOTAS POST-IT  # 653</t>
  </si>
  <si>
    <t>Bloc</t>
  </si>
  <si>
    <t>21100016-0001</t>
  </si>
  <si>
    <t>BROCHE BACCO</t>
  </si>
  <si>
    <t>R003</t>
  </si>
  <si>
    <t>044</t>
  </si>
  <si>
    <t>J15611H</t>
  </si>
  <si>
    <t>LAVADO DE PRENDAS QUE UTILIZARON LOS SE Y CAES EN PEEPJF 2025, CEYEC</t>
  </si>
  <si>
    <t>Refacciones y Accesorios para Equipo de Cómputo y
Telecomunicaciones</t>
  </si>
  <si>
    <t>AUDIFONOS P/COMPUTADORA T/DIADEMA</t>
  </si>
  <si>
    <t>29401001-0047</t>
  </si>
  <si>
    <t>CAMARA WEB - GASTO</t>
  </si>
  <si>
    <t>29400015-0005</t>
  </si>
  <si>
    <t>TAPETE PARA MOUSE (RATON)</t>
  </si>
  <si>
    <t>29401001-0106</t>
  </si>
  <si>
    <t>DISCO DURO EXTERNO DE 2T - GASTO</t>
  </si>
  <si>
    <t>SERVICIO DE TELEVISION RESTRINGIDA CEVEM, PERIODO 28 JUN AL 27 JUL 2025</t>
  </si>
  <si>
    <t>21601001-0070</t>
  </si>
  <si>
    <t>PAÑO LIMPIADOR</t>
  </si>
  <si>
    <t>21600007-0006</t>
  </si>
  <si>
    <t>PINOL 1 LITRO</t>
  </si>
  <si>
    <t>21601001-0012</t>
  </si>
  <si>
    <t>PINOL</t>
  </si>
  <si>
    <t>21601001-0002</t>
  </si>
  <si>
    <t>CLORO</t>
  </si>
  <si>
    <t>21600019-0001</t>
  </si>
  <si>
    <t>GUANTES DE HULE P/LIMPieza</t>
  </si>
  <si>
    <t>Par</t>
  </si>
  <si>
    <t>21101001-0171</t>
  </si>
  <si>
    <t>PAÑUELOS DESECHABLES</t>
  </si>
  <si>
    <t>21601001-0013</t>
  </si>
  <si>
    <t>PAPEL HIGIENICO</t>
  </si>
  <si>
    <t>21601001-0019</t>
  </si>
  <si>
    <t>TOALLA INTERDOBLADA</t>
  </si>
  <si>
    <t>21601001-0018</t>
  </si>
  <si>
    <t>PAPEL TOALLA  EN ROLLO</t>
  </si>
  <si>
    <t>21601001-0106</t>
  </si>
  <si>
    <t>SANITIZANTE LIQUIDO</t>
  </si>
  <si>
    <t>Galon</t>
  </si>
  <si>
    <t>21601001-0062</t>
  </si>
  <si>
    <t>TOALLA HUMEDA</t>
  </si>
  <si>
    <t>21600022-0004</t>
  </si>
  <si>
    <t>JABON DETERGENTE EN POLVO  1 kg.</t>
  </si>
  <si>
    <t>21601001-0035</t>
  </si>
  <si>
    <t>FIBRA ESPONJA PARA TRASTES</t>
  </si>
  <si>
    <t>Productos alimenticios para el personal en las instalaciones de las Unidades Responsables</t>
  </si>
  <si>
    <t>DELEGACIONALES</t>
  </si>
  <si>
    <t>NO APLICA</t>
  </si>
  <si>
    <t>SERVICIO DE FUMIGACION</t>
  </si>
  <si>
    <t>Otros servicios comerciales</t>
  </si>
  <si>
    <t>IMPRESIÓN DE CARTELES</t>
  </si>
  <si>
    <t>SERVICIO DE VIGILANCIA DE LAS OFICINAS QUE UTILIZA LA 03 JUNTA DISTRITAL EJECUTIVA, CORRESPONDIENTE AL MES DE JUNIO DE 2025</t>
  </si>
  <si>
    <t>SERVICIOS</t>
  </si>
  <si>
    <t>Invitación a Cuando menos 3</t>
  </si>
  <si>
    <t>32201</t>
  </si>
  <si>
    <t>Arrendamiento de edificios y locales</t>
  </si>
  <si>
    <t>SERVICIO DE ARRENDAMIENTO DEL INMUEBLE QUE SE UTILIZA COMO OFICINAS DE LA 03 JUNTA DISTRITAL EJECUTIVA CORRESPONDIENTE AL MES DE JUNIO DE 2025</t>
  </si>
  <si>
    <t>INE/JDE03/MOR/01/2025</t>
  </si>
  <si>
    <t>M001
R005</t>
  </si>
  <si>
    <t>001
088</t>
  </si>
  <si>
    <t>B00OD02  B00MO02</t>
  </si>
  <si>
    <t>PAGO DEL SERVICIO DE LIMPIEZA DEL MES DE JUNIO DE 2025 DEL INMUEBLE QUE OCUPA LAS OFICINAS DE LA 03 JUNTA DISTRITAL EJECUTIVA.</t>
  </si>
  <si>
    <t>32903</t>
  </si>
  <si>
    <t>Otros arrendamientos</t>
  </si>
  <si>
    <t>PAGO DE ARRENDAMIENTO DE SANITARIOS QUE SE UTILIZARON PARA EL EQUIPAMIENTO DE CASILLAS ELECTORALES EN LA JORNADA ELECTORAL DEL 1 DE JUNIO Y EN LOS COMPUTOS DISTRITALES DEL 1 AL 6 DE JUNIO, DEL PEE PJF 2024-2025.</t>
  </si>
  <si>
    <t>INE/JDE03/MOR/SERV/10/2025</t>
  </si>
  <si>
    <t>Adjudicación Directa</t>
  </si>
  <si>
    <t>31301</t>
  </si>
  <si>
    <t>Servicio de agua</t>
  </si>
  <si>
    <t>PAGO DEL SERVICIO DE AGUA POTABLE DE LA 03 JDE EN MORELOS, CORRESPONDIENTE AL BIMESTRE 03, MAY-JUN 2025</t>
  </si>
  <si>
    <t>21401</t>
  </si>
  <si>
    <t>Materiales y útiles para el procesamiento en equipos y bienes informáticos</t>
  </si>
  <si>
    <t>21401001-0677</t>
  </si>
  <si>
    <t>COMPRA DE UN DISCO DURO EXTERNO PARA EL RESPALDO DE INFORMACIÓN DEL EQUIPO QUE TERMINA EL CONTRATO CON MAINBIT Y QUE SE UTILIZO EN EL AREA ADMINISTRATIVA DE LA 03 JUNTA DISTRITAL EJECUTIVA</t>
  </si>
  <si>
    <t>COMPRA</t>
  </si>
  <si>
    <t>PZA</t>
  </si>
  <si>
    <t>COMPRA MENOR</t>
  </si>
  <si>
    <t>SERVICIO DE AFINACIÓN Y CAMBIO DE ACEITE, BUJIAS, FILTROS, LAVADO DE INYECTORES, CUERPO DE ACELERACIÓN Y REVISIÓN DE PUNTOS DE SEGURIDAD, AL VEHICULO OFICIAL DODGE RAM (VERDE), PLACAS PZE-430-B.</t>
  </si>
  <si>
    <t>PAGO DE SERVICIO DE ARRENDAMIENTO DE EQUIPO DE FOTOCOPIADO DEL MES DE JUNIO DEL 2025.</t>
  </si>
  <si>
    <t>35901</t>
  </si>
  <si>
    <t xml:space="preserve">Servicios de jardinería y fumigación </t>
  </si>
  <si>
    <t>SERVICIO DE TRES SERVICIOS DE TRATAMIENTO CORRENTIVO: NEBULIZACIÓN, ASPERSIÓN MANUAL Y ACTIVACIÓN DE ESTACIONES DE CONTROL (DESRATIZACIÓN) EN AREAS INTERNAS DE LA 03 JUNTA DISTRITAL EJECUTIVA EN MORELOS.</t>
  </si>
  <si>
    <t>21401001-0040</t>
  </si>
  <si>
    <t>ADQUISICIÓN DE UN CARTUCHO DE TONER KYOCERA TK-7137 K NEGRO PARA IMPRESORA QUE SE UTILIZA EN EL AREA ADMINISTRATIVA DE LA 03 JUNTA DISTRITAL EJECUTIVA</t>
  </si>
  <si>
    <t>DISPERSIÓN ELECTRÓNICA DE COMBUSTIBLE PARA SERVICIOS PÚBLICOS.</t>
  </si>
  <si>
    <t>Invitación a cuando menos 3 personas</t>
  </si>
  <si>
    <t>Subcontratación de Servicios con Terceros</t>
  </si>
  <si>
    <t>SERVICIO DE SUMINISTRO DE COMBUSTIBLE A TRAVÉS DE MONEDEROS ELECTRÓNICOS.</t>
  </si>
  <si>
    <t>SUMINISTRO Y CAMBIO DE JUEGO DE CABLES DE BUJÍAS AL VEHICULO OFICIAL DODGE RAM (VERDE), PLACAS PZE-430-B</t>
  </si>
  <si>
    <t>21101</t>
  </si>
  <si>
    <t xml:space="preserve">Materiales y útiles de oficina </t>
  </si>
  <si>
    <t>21100017-0003</t>
  </si>
  <si>
    <t>CAJA DE ARCHIVO MUERTO T/ OFICIO</t>
  </si>
  <si>
    <t>PZAS</t>
  </si>
  <si>
    <t>21100081-0051</t>
  </si>
  <si>
    <t>ETIQUETA ADHESIVA N° 4</t>
  </si>
  <si>
    <t>PAQUETES</t>
  </si>
  <si>
    <t>21101001-0009</t>
  </si>
  <si>
    <t>CINTA ADHESIVA</t>
  </si>
  <si>
    <t>21100013-0025</t>
  </si>
  <si>
    <t>MARCATEXTO AMARILLO</t>
  </si>
  <si>
    <t>21101001-0242</t>
  </si>
  <si>
    <t>MARCATEXTO</t>
  </si>
  <si>
    <t>24601</t>
  </si>
  <si>
    <t xml:space="preserve"> Material eléctrico y electrónico </t>
  </si>
  <si>
    <t>24600025-0004</t>
  </si>
  <si>
    <t>FOCO DE 50 W</t>
  </si>
  <si>
    <t>21601</t>
  </si>
  <si>
    <t>21600009-0001</t>
  </si>
  <si>
    <t>DESTAPACAÑOS</t>
  </si>
  <si>
    <t>04 JUNTA DISTRITAL EJECUTIVA</t>
  </si>
  <si>
    <t>NA</t>
  </si>
  <si>
    <t>ADJUDICACION DIRECTA</t>
  </si>
  <si>
    <t>MATERIAL DE LIMPIEZA</t>
  </si>
  <si>
    <t>21601001-0023</t>
  </si>
  <si>
    <t>21601001-0024</t>
  </si>
  <si>
    <t>FABULOSO LIMPIADOR LIQUIDO</t>
  </si>
  <si>
    <t>21601001-0017</t>
  </si>
  <si>
    <t>21601001-0122</t>
  </si>
  <si>
    <t>BOLSA DE PLASTICO P/BASURA 60 X 90 CM.</t>
  </si>
  <si>
    <t>KILOGRAMO</t>
  </si>
  <si>
    <t>21601001-0063</t>
  </si>
  <si>
    <t>BOLSA BIODEGRADABLE 90 X 120 CM</t>
  </si>
  <si>
    <t>21601001-0007</t>
  </si>
  <si>
    <t>PIEDRA POMEZ</t>
  </si>
  <si>
    <t>21600015-0001</t>
  </si>
  <si>
    <t>ACIDO MURIATICO DE 1 LT.</t>
  </si>
  <si>
    <t>21601001-0031</t>
  </si>
  <si>
    <t>BASE PARA MOP</t>
  </si>
  <si>
    <t>21600022-0013</t>
  </si>
  <si>
    <t>LIMPIA VIDRIOS</t>
  </si>
  <si>
    <t xml:space="preserve">COMBUSTIBLES, LUBRICANTES Y ADITIVOS PARA VEHÍCULOS TERRESTRES, AÉREOS, MARÍTIMOS, LACUSTRES Y FLUVIALES DESTINADOS A SERVICIOS PÚBLICOS Y LA OPERACIÓN DE PROGRAMAS PÚBLICOS </t>
  </si>
  <si>
    <t>ARRENDAMIENTO DE EDIFICIOS Y LOCALES</t>
  </si>
  <si>
    <t>RENTA DEL INMUEBLE DE LA 04 JUNTA DISTRITAL EJECUTIVA.</t>
  </si>
  <si>
    <t>01/2022</t>
  </si>
  <si>
    <t>ARRENDAMIENTO</t>
  </si>
  <si>
    <t>ARRE</t>
  </si>
  <si>
    <t>RENTA DEL INMUEBLE DE LOS MODULO DE ATENCION CIUDADANA 170451</t>
  </si>
  <si>
    <t>02/2022</t>
  </si>
  <si>
    <t>SERVICIO FOTOCOPIADO JULIO 2025</t>
  </si>
  <si>
    <t>Serv</t>
  </si>
  <si>
    <t>INVITACION A CUANDO MENOS TRES PERSONAS</t>
  </si>
  <si>
    <t>SERVICIO DE VIGILANCIA DE LAS INSTALACIONES DE LA 04 JUNTA DISTRITAL EJECUTIVA.</t>
  </si>
  <si>
    <t>SERVICIO DE VIGILANCIA DE LAS INSTALACIONES DEL MODULO DE ATENCION CIUDADANA 170451.</t>
  </si>
  <si>
    <t>SUBCONTRATACIÓN DE SERVICIOS CON TERCEROS</t>
  </si>
  <si>
    <t>COMISIONES POR DISPERSION DE MONEDERO ELECTRICO DE COMBUSTIBLE</t>
  </si>
  <si>
    <t>MANTENIMIENTO Y CONSERVACION DE VEHÍCULOS TERRESTRES, AÉREOS, MARÍTIMOS, LACUSTRES Y FLUVIALES.</t>
  </si>
  <si>
    <t>SERV.LAVADO INYECTORES</t>
  </si>
  <si>
    <t>SERVICIO DE AFINACION</t>
  </si>
  <si>
    <t>SERVICIOS DE LAVANDERÍA, LIMPIEZA E HIGIENE</t>
  </si>
  <si>
    <t>SERVICIO DE LIMPIEZA DE LAS INSTALACIONES DE LA 04 JUNTA DISTRITAL EJECUTIVA.</t>
  </si>
  <si>
    <t>05 Junta Distrital Ejecutiva</t>
  </si>
  <si>
    <t>21600007-0002</t>
  </si>
  <si>
    <t>CLORO 1 LITRO</t>
  </si>
  <si>
    <t>21600022-0011</t>
  </si>
  <si>
    <t>JABON P/MANOS  ( SHAMPOO )</t>
  </si>
  <si>
    <t>PAPEL TOALLA  EN ROLLO</t>
  </si>
  <si>
    <t>26102</t>
  </si>
  <si>
    <t>Combustibles, lubricantes y aditivos para vehículos terrestres, aéreos, marítimos, lacustres y fluviales destinados a servicios públicos y la operación de programas públicos</t>
  </si>
  <si>
    <t>INE/SERVS/JDE/MOR/03/2025</t>
  </si>
  <si>
    <t>ANUAL</t>
  </si>
  <si>
    <t>LICITACION PUBLICA</t>
  </si>
  <si>
    <t>D15081H</t>
  </si>
  <si>
    <t xml:space="preserve">Subcontratación de servicios con terceros </t>
  </si>
  <si>
    <t>COMISION</t>
  </si>
  <si>
    <t>SERVICIO DE VIGILANCIA EN LAS OFICINAS DE LA 05 JUNTA DISTRITAL EJECUTIVA CORRESPONDIENTE AL MES DE JUNIO DE 2025</t>
  </si>
  <si>
    <t>SERVICIO DE LIMPIEZA DE LAS OFICINAS DE LA JDE 05 CORRESPONDIENTE AL MES DE JUNIO DE 2025, CON 2 ELEMENTOS.</t>
  </si>
  <si>
    <t>SERVICIO DE ARRENDAMIENTO DEL INMUEBLE QUE OCUPA LA 05 JUNTA DISTRITAL EJECUTIVA CORRESPONDIENTE AL MES DE JUNIO DE 2025</t>
  </si>
  <si>
    <t>01/2025</t>
  </si>
  <si>
    <t>33602</t>
  </si>
  <si>
    <t>SERVICIO DE FOTOCOPIADO DE LAS ACTIVIDADES INHERENTES A LA 05 JDE Y PROCESO ELECTORAL JUDICIAL DE JUNIO</t>
  </si>
  <si>
    <t>LOTE</t>
  </si>
  <si>
    <t>SUMINISTRO DEL SERVICIO DE AGUA POTABLE EN LAS OFICINAS DE LA 05 JUNTA DISTRITAL EJECUTIVA EN MORELOS DEL MES DE JUNIO 2025</t>
  </si>
  <si>
    <t>SERVICIO DE LAVANDERIA PARA LAS PRENDAS QUE USABAN LOS CAES Y SE DEL PROCESO ELECTORAL DEL PDF</t>
  </si>
  <si>
    <t>TOTAL</t>
  </si>
  <si>
    <t>01 Junta Distrital Ejecutiva</t>
  </si>
  <si>
    <t>03 Junta Distrital Ejecutiva</t>
  </si>
  <si>
    <t>02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</si>
</sst>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7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  <xf numFmtId="44" fontId="1" fillId="0" borderId="0" applyFont="0" applyFill="0" applyBorder="0" applyAlignment="0" applyProtection="0"/>
  </cellStyleXfs>
  <cellXfs count="78">
    <xf numFmtId="0" fontId="0" fillId="0" borderId="0" xfId="0"/>
    <xf numFmtId="4" fontId="1" fillId="0" borderId="0" xfId="3" applyNumberFormat="1"/>
    <xf numFmtId="0" fontId="1" fillId="0" borderId="0" xfId="3"/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2" applyFont="1"/>
    <xf numFmtId="4" fontId="3" fillId="0" borderId="0" xfId="2" applyNumberFormat="1" applyFont="1" applyAlignment="1">
      <alignment horizontal="right"/>
    </xf>
    <xf numFmtId="4" fontId="3" fillId="0" borderId="0" xfId="2" applyNumberFormat="1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3" applyAlignment="1">
      <alignment horizontal="left" vertical="center"/>
    </xf>
    <xf numFmtId="0" fontId="1" fillId="0" borderId="0" xfId="3" applyAlignment="1">
      <alignment horizontal="left"/>
    </xf>
    <xf numFmtId="4" fontId="1" fillId="0" borderId="0" xfId="3" applyNumberFormat="1" applyAlignment="1">
      <alignment horizontal="right"/>
    </xf>
    <xf numFmtId="0" fontId="1" fillId="0" borderId="0" xfId="2" applyAlignment="1">
      <alignment horizontal="center" vertical="center" wrapText="1"/>
    </xf>
    <xf numFmtId="0" fontId="9" fillId="0" borderId="0" xfId="7" applyFont="1" applyAlignment="1">
      <alignment horizontal="center"/>
    </xf>
    <xf numFmtId="0" fontId="9" fillId="0" borderId="0" xfId="7" applyFont="1"/>
    <xf numFmtId="0" fontId="9" fillId="0" borderId="0" xfId="7" applyFont="1" applyAlignment="1">
      <alignment horizontal="right"/>
    </xf>
    <xf numFmtId="0" fontId="6" fillId="0" borderId="0" xfId="2" applyFont="1" applyAlignment="1">
      <alignment horizontal="center" vertical="center" wrapText="1"/>
    </xf>
    <xf numFmtId="0" fontId="3" fillId="0" borderId="0" xfId="2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" fontId="2" fillId="2" borderId="2" xfId="4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left" vertical="center" wrapText="1"/>
    </xf>
    <xf numFmtId="4" fontId="2" fillId="2" borderId="2" xfId="5" applyNumberFormat="1" applyFont="1" applyFill="1" applyBorder="1" applyAlignment="1">
      <alignment horizontal="center" vertical="center" wrapText="1"/>
    </xf>
    <xf numFmtId="4" fontId="2" fillId="2" borderId="3" xfId="5" applyNumberFormat="1" applyFont="1" applyFill="1" applyBorder="1" applyAlignment="1">
      <alignment horizontal="center" vertical="center" wrapText="1"/>
    </xf>
    <xf numFmtId="164" fontId="6" fillId="0" borderId="6" xfId="6" applyNumberFormat="1" applyFont="1" applyBorder="1" applyAlignment="1">
      <alignment horizontal="center" vertical="center"/>
    </xf>
    <xf numFmtId="164" fontId="6" fillId="0" borderId="8" xfId="0" applyNumberFormat="1" applyFont="1" applyBorder="1" applyAlignment="1">
      <alignment horizontal="right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165" fontId="8" fillId="0" borderId="6" xfId="0" applyNumberFormat="1" applyFont="1" applyBorder="1" applyAlignment="1">
      <alignment horizontal="center" vertical="center" wrapText="1"/>
    </xf>
    <xf numFmtId="0" fontId="6" fillId="0" borderId="6" xfId="6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>
      <alignment horizontal="left" vertical="center" wrapText="1"/>
    </xf>
    <xf numFmtId="1" fontId="6" fillId="0" borderId="6" xfId="4" applyNumberFormat="1" applyFont="1" applyBorder="1" applyAlignment="1">
      <alignment horizontal="center" vertical="center" wrapText="1"/>
    </xf>
    <xf numFmtId="0" fontId="6" fillId="0" borderId="6" xfId="6" applyFont="1" applyBorder="1" applyAlignment="1">
      <alignment horizontal="center" vertical="center"/>
    </xf>
    <xf numFmtId="44" fontId="12" fillId="0" borderId="5" xfId="10" applyFont="1" applyFill="1" applyBorder="1" applyAlignment="1">
      <alignment vertical="center"/>
    </xf>
    <xf numFmtId="0" fontId="13" fillId="0" borderId="6" xfId="0" applyFont="1" applyBorder="1" applyAlignment="1">
      <alignment vertical="center" wrapText="1"/>
    </xf>
    <xf numFmtId="44" fontId="11" fillId="0" borderId="6" xfId="1" applyFont="1" applyFill="1" applyBorder="1" applyAlignment="1">
      <alignment horizontal="center" vertical="center" wrapText="1"/>
    </xf>
    <xf numFmtId="44" fontId="11" fillId="0" borderId="6" xfId="1" applyFont="1" applyFill="1" applyBorder="1" applyAlignment="1">
      <alignment horizontal="center" vertical="center"/>
    </xf>
    <xf numFmtId="44" fontId="10" fillId="0" borderId="6" xfId="1" applyFont="1" applyFill="1" applyBorder="1" applyAlignment="1">
      <alignment horizontal="center" vertical="center"/>
    </xf>
    <xf numFmtId="44" fontId="10" fillId="0" borderId="6" xfId="1" applyFont="1" applyFill="1" applyBorder="1" applyAlignment="1">
      <alignment horizontal="center" vertical="center" wrapText="1"/>
    </xf>
    <xf numFmtId="44" fontId="14" fillId="3" borderId="6" xfId="1" applyFont="1" applyFill="1" applyBorder="1" applyAlignment="1">
      <alignment horizontal="center" vertical="center"/>
    </xf>
    <xf numFmtId="3" fontId="11" fillId="3" borderId="6" xfId="2" applyNumberFormat="1" applyFont="1" applyFill="1" applyBorder="1" applyAlignment="1">
      <alignment vertical="center" wrapText="1"/>
    </xf>
    <xf numFmtId="44" fontId="15" fillId="3" borderId="6" xfId="1" applyFont="1" applyFill="1" applyBorder="1" applyAlignment="1">
      <alignment vertical="center"/>
    </xf>
    <xf numFmtId="44" fontId="14" fillId="0" borderId="6" xfId="1" applyFont="1" applyFill="1" applyBorder="1" applyAlignment="1">
      <alignment horizontal="center" vertical="center"/>
    </xf>
    <xf numFmtId="3" fontId="11" fillId="0" borderId="6" xfId="2" applyNumberFormat="1" applyFont="1" applyBorder="1" applyAlignment="1">
      <alignment vertical="center" wrapText="1"/>
    </xf>
    <xf numFmtId="44" fontId="15" fillId="0" borderId="6" xfId="1" applyFont="1" applyFill="1" applyBorder="1" applyAlignment="1">
      <alignment vertical="center"/>
    </xf>
    <xf numFmtId="3" fontId="6" fillId="0" borderId="6" xfId="2" applyNumberFormat="1" applyFont="1" applyBorder="1" applyAlignment="1">
      <alignment horizontal="center" vertical="center" wrapText="1"/>
    </xf>
    <xf numFmtId="4" fontId="6" fillId="0" borderId="6" xfId="0" applyNumberFormat="1" applyFont="1" applyBorder="1" applyAlignment="1">
      <alignment vertical="center"/>
    </xf>
    <xf numFmtId="3" fontId="6" fillId="0" borderId="6" xfId="4" applyNumberFormat="1" applyFont="1" applyBorder="1" applyAlignment="1">
      <alignment horizontal="center" vertical="center" wrapText="1"/>
    </xf>
    <xf numFmtId="4" fontId="6" fillId="0" borderId="6" xfId="5" applyNumberFormat="1" applyFont="1" applyFill="1" applyBorder="1" applyAlignment="1">
      <alignment horizontal="right" vertical="center" wrapText="1"/>
    </xf>
    <xf numFmtId="4" fontId="6" fillId="0" borderId="6" xfId="4" applyNumberFormat="1" applyFont="1" applyBorder="1" applyAlignment="1">
      <alignment vertical="center" wrapText="1"/>
    </xf>
    <xf numFmtId="4" fontId="10" fillId="0" borderId="6" xfId="3" applyNumberFormat="1" applyFont="1" applyBorder="1" applyAlignment="1">
      <alignment horizontal="right"/>
    </xf>
    <xf numFmtId="3" fontId="10" fillId="0" borderId="6" xfId="2" applyNumberFormat="1" applyFont="1" applyBorder="1" applyAlignment="1">
      <alignment horizontal="center" wrapText="1"/>
    </xf>
    <xf numFmtId="4" fontId="10" fillId="0" borderId="6" xfId="0" applyNumberFormat="1" applyFont="1" applyBorder="1"/>
    <xf numFmtId="4" fontId="10" fillId="0" borderId="6" xfId="2" applyNumberFormat="1" applyFont="1" applyBorder="1" applyAlignment="1">
      <alignment horizontal="right" wrapText="1"/>
    </xf>
    <xf numFmtId="3" fontId="10" fillId="0" borderId="6" xfId="2" applyNumberFormat="1" applyFont="1" applyBorder="1" applyAlignment="1">
      <alignment wrapText="1"/>
    </xf>
    <xf numFmtId="4" fontId="10" fillId="0" borderId="6" xfId="2" applyNumberFormat="1" applyFont="1" applyBorder="1" applyAlignment="1">
      <alignment wrapText="1"/>
    </xf>
    <xf numFmtId="4" fontId="10" fillId="0" borderId="6" xfId="0" applyNumberFormat="1" applyFont="1" applyBorder="1" applyAlignment="1">
      <alignment horizontal="right"/>
    </xf>
    <xf numFmtId="49" fontId="17" fillId="3" borderId="6" xfId="2" applyNumberFormat="1" applyFont="1" applyFill="1" applyBorder="1" applyAlignment="1">
      <alignment vertical="center" wrapText="1"/>
    </xf>
    <xf numFmtId="0" fontId="0" fillId="3" borderId="6" xfId="0" applyFill="1" applyBorder="1"/>
    <xf numFmtId="2" fontId="6" fillId="3" borderId="6" xfId="2" applyNumberFormat="1" applyFont="1" applyFill="1" applyBorder="1" applyAlignment="1">
      <alignment horizontal="center" vertical="center" wrapText="1"/>
    </xf>
    <xf numFmtId="49" fontId="16" fillId="3" borderId="6" xfId="2" applyNumberFormat="1" applyFont="1" applyFill="1" applyBorder="1" applyAlignment="1">
      <alignment vertical="center" wrapText="1"/>
    </xf>
    <xf numFmtId="8" fontId="0" fillId="3" borderId="6" xfId="0" applyNumberFormat="1" applyFill="1" applyBorder="1"/>
    <xf numFmtId="4" fontId="0" fillId="3" borderId="6" xfId="0" applyNumberFormat="1" applyFill="1" applyBorder="1"/>
    <xf numFmtId="4" fontId="1" fillId="3" borderId="6" xfId="0" applyNumberFormat="1" applyFont="1" applyFill="1" applyBorder="1" applyAlignment="1">
      <alignment vertical="center" wrapText="1"/>
    </xf>
    <xf numFmtId="4" fontId="18" fillId="3" borderId="6" xfId="0" applyNumberFormat="1" applyFont="1" applyFill="1" applyBorder="1" applyAlignment="1">
      <alignment vertical="center" wrapText="1"/>
    </xf>
    <xf numFmtId="4" fontId="18" fillId="3" borderId="6" xfId="0" applyNumberFormat="1" applyFont="1" applyFill="1" applyBorder="1" applyAlignment="1">
      <alignment vertical="center"/>
    </xf>
    <xf numFmtId="4" fontId="2" fillId="2" borderId="5" xfId="4" applyNumberFormat="1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1" fontId="2" fillId="2" borderId="9" xfId="4" applyNumberFormat="1" applyFont="1" applyFill="1" applyBorder="1" applyAlignment="1">
      <alignment horizontal="center" vertical="center" wrapText="1"/>
    </xf>
    <xf numFmtId="1" fontId="2" fillId="2" borderId="10" xfId="4" applyNumberFormat="1" applyFont="1" applyFill="1" applyBorder="1" applyAlignment="1">
      <alignment horizontal="center" vertical="center" wrapText="1"/>
    </xf>
    <xf numFmtId="1" fontId="2" fillId="2" borderId="11" xfId="4" applyNumberFormat="1" applyFont="1" applyFill="1" applyBorder="1" applyAlignment="1">
      <alignment horizontal="center" vertical="center" wrapText="1"/>
    </xf>
  </cellXfs>
  <cellStyles count="11">
    <cellStyle name="Millares 2" xfId="5" xr:uid="{69CD560A-0157-4FAC-9EAA-A447B18C6661}"/>
    <cellStyle name="Moneda" xfId="1" builtinId="4"/>
    <cellStyle name="Moneda 2 2" xfId="10" xr:uid="{AAE1AEDF-E817-49DF-B325-6CA2CADD03EC}"/>
    <cellStyle name="Normal" xfId="0" builtinId="0"/>
    <cellStyle name="Normal 2" xfId="9" xr:uid="{097D437E-A86C-4FA8-8D1E-69C833FB14FF}"/>
    <cellStyle name="Normal 2 2" xfId="2" xr:uid="{38D62897-79AF-4E5E-AD2E-E539E55F97A6}"/>
    <cellStyle name="Normal 4 2" xfId="7" xr:uid="{99C624C0-ED3F-4B8C-A17D-C92EF45AE196}"/>
    <cellStyle name="Normal 5" xfId="3" xr:uid="{B073A025-5A01-4806-93ED-4553141E8AD7}"/>
    <cellStyle name="Normal 8" xfId="4" xr:uid="{81744785-ED72-4530-91DA-A3FA6AA0CD8C}"/>
    <cellStyle name="Normal 8 2" xfId="8" xr:uid="{5DCCF1FA-2426-4765-8AA2-239306E2FCEE}"/>
    <cellStyle name="Normal_FORMATO_JUSTIFICACION DE AP 2004" xfId="6" xr:uid="{64CBCFB9-182A-4B48-9F62-D183EC81C1EE}"/>
  </cellStyles>
  <dxfs count="0"/>
  <tableStyles count="0" defaultTableStyle="TableStyleMedium2" defaultPivotStyle="PivotStyleLight16"/>
  <colors>
    <mruColors>
      <color rgb="FF66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154193</xdr:colOff>
      <xdr:row>0</xdr:row>
      <xdr:rowOff>83820</xdr:rowOff>
    </xdr:from>
    <xdr:to>
      <xdr:col>2</xdr:col>
      <xdr:colOff>15240</xdr:colOff>
      <xdr:row>4</xdr:row>
      <xdr:rowOff>14746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531BE31-1A84-4FC7-AC7C-55791922BA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4193" y="83820"/>
          <a:ext cx="1948927" cy="95200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67BE6-9B41-419A-9E1A-A4C7A3CD6998}">
  <dimension ref="A3:S232"/>
  <sheetViews>
    <sheetView tabSelected="1" zoomScale="86" zoomScaleNormal="86" workbookViewId="0">
      <pane ySplit="6" topLeftCell="A7" activePane="bottomLeft" state="frozen"/>
      <selection pane="bottomLeft" activeCell="A7" sqref="A7"/>
    </sheetView>
  </sheetViews>
  <sheetFormatPr baseColWidth="10" defaultColWidth="11.54296875" defaultRowHeight="14.5" x14ac:dyDescent="0.35"/>
  <cols>
    <col min="1" max="1" width="14.90625" style="2" customWidth="1"/>
    <col min="2" max="2" width="15.54296875" style="8" customWidth="1"/>
    <col min="3" max="6" width="7.54296875" style="8" customWidth="1"/>
    <col min="7" max="7" width="9.54296875" style="8" customWidth="1"/>
    <col min="8" max="8" width="8.54296875" style="8" customWidth="1"/>
    <col min="9" max="9" width="26.90625" style="9" customWidth="1"/>
    <col min="10" max="10" width="14.6328125" style="10" customWidth="1"/>
    <col min="11" max="11" width="47.54296875" style="2" customWidth="1"/>
    <col min="12" max="12" width="24.453125" style="8" customWidth="1"/>
    <col min="13" max="13" width="14.54296875" style="8" customWidth="1"/>
    <col min="14" max="15" width="9.54296875" style="8" customWidth="1"/>
    <col min="16" max="16" width="11.6328125" style="11" customWidth="1"/>
    <col min="17" max="17" width="22.36328125" style="10" customWidth="1"/>
    <col min="18" max="18" width="13.90625" style="1" customWidth="1"/>
    <col min="19" max="19" width="14.1796875" style="1" customWidth="1"/>
    <col min="20" max="16384" width="11.54296875" style="2"/>
  </cols>
  <sheetData>
    <row r="3" spans="1:19" ht="26" x14ac:dyDescent="0.6">
      <c r="A3" s="74" t="s">
        <v>35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</row>
    <row r="4" spans="1:19" ht="26" x14ac:dyDescent="0.6">
      <c r="A4" s="17"/>
      <c r="B4" s="17"/>
      <c r="C4" s="17"/>
      <c r="D4" s="17"/>
      <c r="E4" s="17"/>
      <c r="F4" s="17"/>
      <c r="G4" s="17"/>
      <c r="H4" s="17"/>
      <c r="I4" s="3"/>
      <c r="J4" s="4"/>
      <c r="K4" s="5"/>
      <c r="L4" s="17"/>
      <c r="M4" s="17"/>
      <c r="N4" s="17"/>
      <c r="O4" s="17"/>
      <c r="P4" s="6"/>
      <c r="Q4" s="4"/>
      <c r="R4" s="7"/>
    </row>
    <row r="5" spans="1:19" ht="27.5" customHeight="1" thickBot="1" x14ac:dyDescent="0.4"/>
    <row r="6" spans="1:19" s="12" customFormat="1" ht="56.25" customHeight="1" x14ac:dyDescent="0.35">
      <c r="A6" s="18" t="s">
        <v>0</v>
      </c>
      <c r="B6" s="19" t="s">
        <v>1</v>
      </c>
      <c r="C6" s="19" t="s">
        <v>2</v>
      </c>
      <c r="D6" s="19" t="s">
        <v>3</v>
      </c>
      <c r="E6" s="19" t="s">
        <v>4</v>
      </c>
      <c r="F6" s="19" t="s">
        <v>5</v>
      </c>
      <c r="G6" s="19" t="s">
        <v>6</v>
      </c>
      <c r="H6" s="20" t="s">
        <v>7</v>
      </c>
      <c r="I6" s="21" t="s">
        <v>8</v>
      </c>
      <c r="J6" s="21" t="s">
        <v>9</v>
      </c>
      <c r="K6" s="22" t="s">
        <v>10</v>
      </c>
      <c r="L6" s="20" t="s">
        <v>11</v>
      </c>
      <c r="M6" s="20" t="s">
        <v>12</v>
      </c>
      <c r="N6" s="20" t="s">
        <v>13</v>
      </c>
      <c r="O6" s="23" t="s">
        <v>14</v>
      </c>
      <c r="P6" s="24" t="s">
        <v>15</v>
      </c>
      <c r="Q6" s="25" t="s">
        <v>16</v>
      </c>
      <c r="R6" s="26" t="s">
        <v>17</v>
      </c>
      <c r="S6" s="27" t="s">
        <v>72</v>
      </c>
    </row>
    <row r="7" spans="1:19" s="16" customFormat="1" ht="46.5" customHeight="1" x14ac:dyDescent="0.35">
      <c r="A7" s="32" t="s">
        <v>18</v>
      </c>
      <c r="B7" s="33" t="s">
        <v>23</v>
      </c>
      <c r="C7" s="33" t="s">
        <v>24</v>
      </c>
      <c r="D7" s="34" t="s">
        <v>19</v>
      </c>
      <c r="E7" s="31" t="s">
        <v>20</v>
      </c>
      <c r="F7" s="35">
        <v>1</v>
      </c>
      <c r="G7" s="36" t="s">
        <v>21</v>
      </c>
      <c r="H7" s="36">
        <v>21101</v>
      </c>
      <c r="I7" s="37" t="s">
        <v>73</v>
      </c>
      <c r="J7" s="38" t="s">
        <v>74</v>
      </c>
      <c r="K7" s="30" t="s">
        <v>105</v>
      </c>
      <c r="L7" s="30">
        <v>2025020117</v>
      </c>
      <c r="M7" s="30" t="s">
        <v>37</v>
      </c>
      <c r="N7" s="30" t="s">
        <v>136</v>
      </c>
      <c r="O7" s="39">
        <v>2</v>
      </c>
      <c r="P7" s="28">
        <f>1067.98/O7</f>
        <v>533.99</v>
      </c>
      <c r="Q7" s="30" t="s">
        <v>57</v>
      </c>
      <c r="R7" s="29">
        <f>O7*P7</f>
        <v>1067.98</v>
      </c>
      <c r="S7" s="29">
        <f t="shared" ref="S7:S71" si="0">R7</f>
        <v>1067.98</v>
      </c>
    </row>
    <row r="8" spans="1:19" s="16" customFormat="1" ht="46.5" customHeight="1" x14ac:dyDescent="0.35">
      <c r="A8" s="32" t="s">
        <v>18</v>
      </c>
      <c r="B8" s="33" t="s">
        <v>23</v>
      </c>
      <c r="C8" s="33" t="s">
        <v>24</v>
      </c>
      <c r="D8" s="34" t="s">
        <v>19</v>
      </c>
      <c r="E8" s="31" t="s">
        <v>20</v>
      </c>
      <c r="F8" s="35">
        <v>1</v>
      </c>
      <c r="G8" s="36" t="s">
        <v>21</v>
      </c>
      <c r="H8" s="36">
        <v>21101</v>
      </c>
      <c r="I8" s="37" t="s">
        <v>73</v>
      </c>
      <c r="J8" s="38" t="s">
        <v>75</v>
      </c>
      <c r="K8" s="30" t="s">
        <v>106</v>
      </c>
      <c r="L8" s="30">
        <v>2025020117</v>
      </c>
      <c r="M8" s="30" t="s">
        <v>37</v>
      </c>
      <c r="N8" s="30" t="s">
        <v>44</v>
      </c>
      <c r="O8" s="39">
        <v>10</v>
      </c>
      <c r="P8" s="28">
        <f>60.8/O8</f>
        <v>6.08</v>
      </c>
      <c r="Q8" s="30" t="s">
        <v>57</v>
      </c>
      <c r="R8" s="29">
        <f t="shared" ref="R8:R37" si="1">O8*P8</f>
        <v>60.8</v>
      </c>
      <c r="S8" s="29">
        <f t="shared" si="0"/>
        <v>60.8</v>
      </c>
    </row>
    <row r="9" spans="1:19" s="16" customFormat="1" ht="46.5" customHeight="1" x14ac:dyDescent="0.35">
      <c r="A9" s="32" t="s">
        <v>18</v>
      </c>
      <c r="B9" s="33" t="s">
        <v>23</v>
      </c>
      <c r="C9" s="33" t="s">
        <v>24</v>
      </c>
      <c r="D9" s="34" t="s">
        <v>19</v>
      </c>
      <c r="E9" s="31" t="s">
        <v>20</v>
      </c>
      <c r="F9" s="35">
        <v>1</v>
      </c>
      <c r="G9" s="36" t="s">
        <v>21</v>
      </c>
      <c r="H9" s="36">
        <v>21101</v>
      </c>
      <c r="I9" s="37" t="s">
        <v>73</v>
      </c>
      <c r="J9" s="38" t="s">
        <v>76</v>
      </c>
      <c r="K9" s="30" t="s">
        <v>107</v>
      </c>
      <c r="L9" s="30">
        <v>2025020117</v>
      </c>
      <c r="M9" s="30" t="s">
        <v>37</v>
      </c>
      <c r="N9" s="30" t="s">
        <v>137</v>
      </c>
      <c r="O9" s="39">
        <v>15</v>
      </c>
      <c r="P9" s="28">
        <f>810/O9</f>
        <v>54</v>
      </c>
      <c r="Q9" s="30" t="s">
        <v>57</v>
      </c>
      <c r="R9" s="29">
        <f t="shared" si="1"/>
        <v>810</v>
      </c>
      <c r="S9" s="29">
        <f t="shared" si="0"/>
        <v>810</v>
      </c>
    </row>
    <row r="10" spans="1:19" s="16" customFormat="1" ht="46.5" customHeight="1" x14ac:dyDescent="0.35">
      <c r="A10" s="32" t="s">
        <v>18</v>
      </c>
      <c r="B10" s="33" t="s">
        <v>23</v>
      </c>
      <c r="C10" s="33" t="s">
        <v>24</v>
      </c>
      <c r="D10" s="34" t="s">
        <v>19</v>
      </c>
      <c r="E10" s="31" t="s">
        <v>20</v>
      </c>
      <c r="F10" s="35">
        <v>1</v>
      </c>
      <c r="G10" s="36" t="s">
        <v>21</v>
      </c>
      <c r="H10" s="36">
        <v>21101</v>
      </c>
      <c r="I10" s="37" t="s">
        <v>73</v>
      </c>
      <c r="J10" s="38" t="s">
        <v>77</v>
      </c>
      <c r="K10" s="30" t="s">
        <v>108</v>
      </c>
      <c r="L10" s="30">
        <v>2025020117</v>
      </c>
      <c r="M10" s="30" t="s">
        <v>37</v>
      </c>
      <c r="N10" s="30" t="s">
        <v>44</v>
      </c>
      <c r="O10" s="39">
        <v>24</v>
      </c>
      <c r="P10" s="28">
        <f>87.36/O10</f>
        <v>3.64</v>
      </c>
      <c r="Q10" s="30" t="s">
        <v>57</v>
      </c>
      <c r="R10" s="29">
        <f t="shared" si="1"/>
        <v>87.36</v>
      </c>
      <c r="S10" s="29">
        <f t="shared" si="0"/>
        <v>87.36</v>
      </c>
    </row>
    <row r="11" spans="1:19" s="16" customFormat="1" ht="46.5" customHeight="1" x14ac:dyDescent="0.35">
      <c r="A11" s="32" t="s">
        <v>18</v>
      </c>
      <c r="B11" s="33" t="s">
        <v>23</v>
      </c>
      <c r="C11" s="33" t="s">
        <v>24</v>
      </c>
      <c r="D11" s="34" t="s">
        <v>19</v>
      </c>
      <c r="E11" s="31" t="s">
        <v>20</v>
      </c>
      <c r="F11" s="35">
        <v>1</v>
      </c>
      <c r="G11" s="36" t="s">
        <v>21</v>
      </c>
      <c r="H11" s="36">
        <v>21101</v>
      </c>
      <c r="I11" s="37" t="s">
        <v>73</v>
      </c>
      <c r="J11" s="38" t="s">
        <v>78</v>
      </c>
      <c r="K11" s="30" t="s">
        <v>109</v>
      </c>
      <c r="L11" s="30">
        <v>2025020117</v>
      </c>
      <c r="M11" s="30" t="s">
        <v>37</v>
      </c>
      <c r="N11" s="30" t="s">
        <v>44</v>
      </c>
      <c r="O11" s="39">
        <v>20</v>
      </c>
      <c r="P11" s="28">
        <f>74.8/O11</f>
        <v>3.7399999999999998</v>
      </c>
      <c r="Q11" s="30" t="s">
        <v>57</v>
      </c>
      <c r="R11" s="29">
        <f t="shared" si="1"/>
        <v>74.8</v>
      </c>
      <c r="S11" s="29">
        <f t="shared" si="0"/>
        <v>74.8</v>
      </c>
    </row>
    <row r="12" spans="1:19" s="16" customFormat="1" ht="46.5" customHeight="1" x14ac:dyDescent="0.35">
      <c r="A12" s="32" t="s">
        <v>18</v>
      </c>
      <c r="B12" s="33" t="s">
        <v>23</v>
      </c>
      <c r="C12" s="33" t="s">
        <v>24</v>
      </c>
      <c r="D12" s="34" t="s">
        <v>19</v>
      </c>
      <c r="E12" s="31" t="s">
        <v>20</v>
      </c>
      <c r="F12" s="35">
        <v>1</v>
      </c>
      <c r="G12" s="36" t="s">
        <v>21</v>
      </c>
      <c r="H12" s="36">
        <v>21101</v>
      </c>
      <c r="I12" s="37" t="s">
        <v>73</v>
      </c>
      <c r="J12" s="38" t="s">
        <v>79</v>
      </c>
      <c r="K12" s="30" t="s">
        <v>110</v>
      </c>
      <c r="L12" s="30">
        <v>2025020117</v>
      </c>
      <c r="M12" s="30" t="s">
        <v>37</v>
      </c>
      <c r="N12" s="30" t="s">
        <v>44</v>
      </c>
      <c r="O12" s="39">
        <v>185</v>
      </c>
      <c r="P12" s="28">
        <f>10504.3/O12</f>
        <v>56.779999999999994</v>
      </c>
      <c r="Q12" s="30" t="s">
        <v>57</v>
      </c>
      <c r="R12" s="29">
        <f t="shared" si="1"/>
        <v>10504.3</v>
      </c>
      <c r="S12" s="29">
        <f t="shared" si="0"/>
        <v>10504.3</v>
      </c>
    </row>
    <row r="13" spans="1:19" s="16" customFormat="1" ht="46.5" customHeight="1" x14ac:dyDescent="0.35">
      <c r="A13" s="32" t="s">
        <v>18</v>
      </c>
      <c r="B13" s="33" t="s">
        <v>23</v>
      </c>
      <c r="C13" s="33" t="s">
        <v>24</v>
      </c>
      <c r="D13" s="34" t="s">
        <v>19</v>
      </c>
      <c r="E13" s="31" t="s">
        <v>20</v>
      </c>
      <c r="F13" s="35">
        <v>1</v>
      </c>
      <c r="G13" s="36" t="s">
        <v>21</v>
      </c>
      <c r="H13" s="36">
        <v>21101</v>
      </c>
      <c r="I13" s="37" t="s">
        <v>73</v>
      </c>
      <c r="J13" s="38" t="s">
        <v>80</v>
      </c>
      <c r="K13" s="30" t="s">
        <v>111</v>
      </c>
      <c r="L13" s="30">
        <v>2025020117</v>
      </c>
      <c r="M13" s="30" t="s">
        <v>37</v>
      </c>
      <c r="N13" s="30" t="s">
        <v>44</v>
      </c>
      <c r="O13" s="39">
        <v>12</v>
      </c>
      <c r="P13" s="28">
        <f>157.44/O13</f>
        <v>13.12</v>
      </c>
      <c r="Q13" s="30" t="s">
        <v>57</v>
      </c>
      <c r="R13" s="29">
        <f t="shared" si="1"/>
        <v>157.44</v>
      </c>
      <c r="S13" s="29">
        <f t="shared" si="0"/>
        <v>157.44</v>
      </c>
    </row>
    <row r="14" spans="1:19" s="16" customFormat="1" ht="46.5" customHeight="1" x14ac:dyDescent="0.35">
      <c r="A14" s="32" t="s">
        <v>18</v>
      </c>
      <c r="B14" s="33" t="s">
        <v>23</v>
      </c>
      <c r="C14" s="33" t="s">
        <v>24</v>
      </c>
      <c r="D14" s="34" t="s">
        <v>19</v>
      </c>
      <c r="E14" s="31" t="s">
        <v>20</v>
      </c>
      <c r="F14" s="35">
        <v>1</v>
      </c>
      <c r="G14" s="36" t="s">
        <v>21</v>
      </c>
      <c r="H14" s="36">
        <v>21101</v>
      </c>
      <c r="I14" s="37" t="s">
        <v>73</v>
      </c>
      <c r="J14" s="38" t="s">
        <v>81</v>
      </c>
      <c r="K14" s="30" t="s">
        <v>112</v>
      </c>
      <c r="L14" s="30">
        <v>2025020117</v>
      </c>
      <c r="M14" s="30" t="s">
        <v>37</v>
      </c>
      <c r="N14" s="30" t="s">
        <v>138</v>
      </c>
      <c r="O14" s="39">
        <v>20</v>
      </c>
      <c r="P14" s="28">
        <f>156/O14</f>
        <v>7.8</v>
      </c>
      <c r="Q14" s="30" t="s">
        <v>57</v>
      </c>
      <c r="R14" s="29">
        <f t="shared" si="1"/>
        <v>156</v>
      </c>
      <c r="S14" s="29">
        <f t="shared" si="0"/>
        <v>156</v>
      </c>
    </row>
    <row r="15" spans="1:19" s="16" customFormat="1" ht="46.5" customHeight="1" x14ac:dyDescent="0.35">
      <c r="A15" s="32" t="s">
        <v>18</v>
      </c>
      <c r="B15" s="33" t="s">
        <v>23</v>
      </c>
      <c r="C15" s="33" t="s">
        <v>24</v>
      </c>
      <c r="D15" s="34" t="s">
        <v>19</v>
      </c>
      <c r="E15" s="31" t="s">
        <v>20</v>
      </c>
      <c r="F15" s="35">
        <v>1</v>
      </c>
      <c r="G15" s="36" t="s">
        <v>21</v>
      </c>
      <c r="H15" s="36">
        <v>21101</v>
      </c>
      <c r="I15" s="37" t="s">
        <v>73</v>
      </c>
      <c r="J15" s="38" t="s">
        <v>82</v>
      </c>
      <c r="K15" s="30" t="s">
        <v>113</v>
      </c>
      <c r="L15" s="30">
        <v>2025020117</v>
      </c>
      <c r="M15" s="30" t="s">
        <v>37</v>
      </c>
      <c r="N15" s="30" t="s">
        <v>138</v>
      </c>
      <c r="O15" s="39">
        <v>20</v>
      </c>
      <c r="P15" s="28">
        <f>758.2/O15</f>
        <v>37.910000000000004</v>
      </c>
      <c r="Q15" s="30" t="s">
        <v>57</v>
      </c>
      <c r="R15" s="29">
        <f t="shared" si="1"/>
        <v>758.2</v>
      </c>
      <c r="S15" s="29">
        <f t="shared" si="0"/>
        <v>758.2</v>
      </c>
    </row>
    <row r="16" spans="1:19" s="16" customFormat="1" ht="46.5" customHeight="1" x14ac:dyDescent="0.35">
      <c r="A16" s="32" t="s">
        <v>18</v>
      </c>
      <c r="B16" s="33" t="s">
        <v>23</v>
      </c>
      <c r="C16" s="33" t="s">
        <v>24</v>
      </c>
      <c r="D16" s="34" t="s">
        <v>19</v>
      </c>
      <c r="E16" s="31" t="s">
        <v>20</v>
      </c>
      <c r="F16" s="35">
        <v>1</v>
      </c>
      <c r="G16" s="36" t="s">
        <v>21</v>
      </c>
      <c r="H16" s="36">
        <v>21101</v>
      </c>
      <c r="I16" s="37" t="s">
        <v>73</v>
      </c>
      <c r="J16" s="38" t="s">
        <v>83</v>
      </c>
      <c r="K16" s="30" t="s">
        <v>114</v>
      </c>
      <c r="L16" s="30">
        <v>2025020117</v>
      </c>
      <c r="M16" s="30" t="s">
        <v>37</v>
      </c>
      <c r="N16" s="30" t="s">
        <v>44</v>
      </c>
      <c r="O16" s="39">
        <v>20</v>
      </c>
      <c r="P16" s="28">
        <f>68/O16</f>
        <v>3.4</v>
      </c>
      <c r="Q16" s="30" t="s">
        <v>57</v>
      </c>
      <c r="R16" s="29">
        <f t="shared" si="1"/>
        <v>68</v>
      </c>
      <c r="S16" s="29">
        <f t="shared" si="0"/>
        <v>68</v>
      </c>
    </row>
    <row r="17" spans="1:19" s="16" customFormat="1" ht="46.5" customHeight="1" x14ac:dyDescent="0.35">
      <c r="A17" s="32" t="s">
        <v>18</v>
      </c>
      <c r="B17" s="33" t="s">
        <v>23</v>
      </c>
      <c r="C17" s="33" t="s">
        <v>24</v>
      </c>
      <c r="D17" s="34" t="s">
        <v>19</v>
      </c>
      <c r="E17" s="31" t="s">
        <v>20</v>
      </c>
      <c r="F17" s="35">
        <v>1</v>
      </c>
      <c r="G17" s="36" t="s">
        <v>21</v>
      </c>
      <c r="H17" s="36">
        <v>21101</v>
      </c>
      <c r="I17" s="37" t="s">
        <v>73</v>
      </c>
      <c r="J17" s="38" t="s">
        <v>84</v>
      </c>
      <c r="K17" s="30" t="s">
        <v>115</v>
      </c>
      <c r="L17" s="30">
        <v>2025020117</v>
      </c>
      <c r="M17" s="30" t="s">
        <v>37</v>
      </c>
      <c r="N17" s="30" t="s">
        <v>44</v>
      </c>
      <c r="O17" s="39">
        <v>5</v>
      </c>
      <c r="P17" s="28">
        <f>68.3/O17</f>
        <v>13.66</v>
      </c>
      <c r="Q17" s="30" t="s">
        <v>57</v>
      </c>
      <c r="R17" s="29">
        <f t="shared" si="1"/>
        <v>68.3</v>
      </c>
      <c r="S17" s="29">
        <f t="shared" si="0"/>
        <v>68.3</v>
      </c>
    </row>
    <row r="18" spans="1:19" s="16" customFormat="1" ht="46.5" customHeight="1" x14ac:dyDescent="0.35">
      <c r="A18" s="32" t="s">
        <v>18</v>
      </c>
      <c r="B18" s="33" t="s">
        <v>23</v>
      </c>
      <c r="C18" s="33" t="s">
        <v>24</v>
      </c>
      <c r="D18" s="34" t="s">
        <v>19</v>
      </c>
      <c r="E18" s="31" t="s">
        <v>20</v>
      </c>
      <c r="F18" s="35">
        <v>1</v>
      </c>
      <c r="G18" s="36" t="s">
        <v>21</v>
      </c>
      <c r="H18" s="36">
        <v>21101</v>
      </c>
      <c r="I18" s="37" t="s">
        <v>73</v>
      </c>
      <c r="J18" s="38" t="s">
        <v>85</v>
      </c>
      <c r="K18" s="30" t="s">
        <v>116</v>
      </c>
      <c r="L18" s="30">
        <v>2025020117</v>
      </c>
      <c r="M18" s="30" t="s">
        <v>37</v>
      </c>
      <c r="N18" s="30" t="s">
        <v>44</v>
      </c>
      <c r="O18" s="39">
        <v>300</v>
      </c>
      <c r="P18" s="28">
        <f>711/O18</f>
        <v>2.37</v>
      </c>
      <c r="Q18" s="30" t="s">
        <v>57</v>
      </c>
      <c r="R18" s="29">
        <f t="shared" si="1"/>
        <v>711</v>
      </c>
      <c r="S18" s="29">
        <f t="shared" si="0"/>
        <v>711</v>
      </c>
    </row>
    <row r="19" spans="1:19" s="16" customFormat="1" ht="46.5" customHeight="1" x14ac:dyDescent="0.35">
      <c r="A19" s="32" t="s">
        <v>18</v>
      </c>
      <c r="B19" s="33" t="s">
        <v>23</v>
      </c>
      <c r="C19" s="33" t="s">
        <v>24</v>
      </c>
      <c r="D19" s="34" t="s">
        <v>19</v>
      </c>
      <c r="E19" s="31" t="s">
        <v>20</v>
      </c>
      <c r="F19" s="35">
        <v>1</v>
      </c>
      <c r="G19" s="36" t="s">
        <v>21</v>
      </c>
      <c r="H19" s="36">
        <v>21101</v>
      </c>
      <c r="I19" s="37" t="s">
        <v>73</v>
      </c>
      <c r="J19" s="38" t="s">
        <v>86</v>
      </c>
      <c r="K19" s="30" t="s">
        <v>117</v>
      </c>
      <c r="L19" s="30">
        <v>2025020117</v>
      </c>
      <c r="M19" s="30" t="s">
        <v>37</v>
      </c>
      <c r="N19" s="30" t="s">
        <v>44</v>
      </c>
      <c r="O19" s="39">
        <v>300</v>
      </c>
      <c r="P19" s="28">
        <f>855/O19</f>
        <v>2.85</v>
      </c>
      <c r="Q19" s="30" t="s">
        <v>57</v>
      </c>
      <c r="R19" s="29">
        <f t="shared" si="1"/>
        <v>855</v>
      </c>
      <c r="S19" s="29">
        <f t="shared" si="0"/>
        <v>855</v>
      </c>
    </row>
    <row r="20" spans="1:19" s="16" customFormat="1" ht="46.5" customHeight="1" x14ac:dyDescent="0.35">
      <c r="A20" s="32" t="s">
        <v>18</v>
      </c>
      <c r="B20" s="33" t="s">
        <v>23</v>
      </c>
      <c r="C20" s="33" t="s">
        <v>24</v>
      </c>
      <c r="D20" s="34" t="s">
        <v>19</v>
      </c>
      <c r="E20" s="31" t="s">
        <v>20</v>
      </c>
      <c r="F20" s="35">
        <v>1</v>
      </c>
      <c r="G20" s="36" t="s">
        <v>21</v>
      </c>
      <c r="H20" s="36">
        <v>21101</v>
      </c>
      <c r="I20" s="37" t="s">
        <v>73</v>
      </c>
      <c r="J20" s="38" t="s">
        <v>87</v>
      </c>
      <c r="K20" s="30" t="s">
        <v>118</v>
      </c>
      <c r="L20" s="30">
        <v>2025020117</v>
      </c>
      <c r="M20" s="30" t="s">
        <v>37</v>
      </c>
      <c r="N20" s="30" t="s">
        <v>44</v>
      </c>
      <c r="O20" s="39">
        <v>16</v>
      </c>
      <c r="P20" s="28">
        <f>130.24/O20</f>
        <v>8.14</v>
      </c>
      <c r="Q20" s="30" t="s">
        <v>57</v>
      </c>
      <c r="R20" s="29">
        <f t="shared" si="1"/>
        <v>130.24</v>
      </c>
      <c r="S20" s="29">
        <f t="shared" si="0"/>
        <v>130.24</v>
      </c>
    </row>
    <row r="21" spans="1:19" s="16" customFormat="1" ht="46.5" customHeight="1" x14ac:dyDescent="0.35">
      <c r="A21" s="32" t="s">
        <v>18</v>
      </c>
      <c r="B21" s="33" t="s">
        <v>23</v>
      </c>
      <c r="C21" s="33" t="s">
        <v>24</v>
      </c>
      <c r="D21" s="34" t="s">
        <v>19</v>
      </c>
      <c r="E21" s="31" t="s">
        <v>20</v>
      </c>
      <c r="F21" s="35">
        <v>1</v>
      </c>
      <c r="G21" s="36" t="s">
        <v>21</v>
      </c>
      <c r="H21" s="36">
        <v>21101</v>
      </c>
      <c r="I21" s="37" t="s">
        <v>73</v>
      </c>
      <c r="J21" s="38" t="s">
        <v>88</v>
      </c>
      <c r="K21" s="30" t="s">
        <v>119</v>
      </c>
      <c r="L21" s="30">
        <v>2025020117</v>
      </c>
      <c r="M21" s="30" t="s">
        <v>37</v>
      </c>
      <c r="N21" s="30" t="s">
        <v>44</v>
      </c>
      <c r="O21" s="39">
        <v>24</v>
      </c>
      <c r="P21" s="28">
        <f>123.6/O21</f>
        <v>5.1499999999999995</v>
      </c>
      <c r="Q21" s="30" t="s">
        <v>57</v>
      </c>
      <c r="R21" s="29">
        <f t="shared" si="1"/>
        <v>123.6</v>
      </c>
      <c r="S21" s="29">
        <f t="shared" si="0"/>
        <v>123.6</v>
      </c>
    </row>
    <row r="22" spans="1:19" s="16" customFormat="1" ht="46.5" customHeight="1" x14ac:dyDescent="0.35">
      <c r="A22" s="32" t="s">
        <v>18</v>
      </c>
      <c r="B22" s="33" t="s">
        <v>23</v>
      </c>
      <c r="C22" s="33" t="s">
        <v>24</v>
      </c>
      <c r="D22" s="34" t="s">
        <v>19</v>
      </c>
      <c r="E22" s="31" t="s">
        <v>20</v>
      </c>
      <c r="F22" s="35">
        <v>1</v>
      </c>
      <c r="G22" s="36" t="s">
        <v>21</v>
      </c>
      <c r="H22" s="36">
        <v>21101</v>
      </c>
      <c r="I22" s="37" t="s">
        <v>73</v>
      </c>
      <c r="J22" s="38" t="s">
        <v>89</v>
      </c>
      <c r="K22" s="30" t="s">
        <v>120</v>
      </c>
      <c r="L22" s="30">
        <v>2025020117</v>
      </c>
      <c r="M22" s="30" t="s">
        <v>37</v>
      </c>
      <c r="N22" s="30" t="s">
        <v>44</v>
      </c>
      <c r="O22" s="39">
        <v>20</v>
      </c>
      <c r="P22" s="28">
        <f>845.4/O22</f>
        <v>42.269999999999996</v>
      </c>
      <c r="Q22" s="30" t="s">
        <v>57</v>
      </c>
      <c r="R22" s="29">
        <f t="shared" si="1"/>
        <v>845.39999999999986</v>
      </c>
      <c r="S22" s="29">
        <f t="shared" si="0"/>
        <v>845.39999999999986</v>
      </c>
    </row>
    <row r="23" spans="1:19" s="16" customFormat="1" ht="46.5" customHeight="1" x14ac:dyDescent="0.35">
      <c r="A23" s="32" t="s">
        <v>18</v>
      </c>
      <c r="B23" s="33" t="s">
        <v>23</v>
      </c>
      <c r="C23" s="33" t="s">
        <v>24</v>
      </c>
      <c r="D23" s="34" t="s">
        <v>19</v>
      </c>
      <c r="E23" s="31" t="s">
        <v>20</v>
      </c>
      <c r="F23" s="35">
        <v>1</v>
      </c>
      <c r="G23" s="36" t="s">
        <v>21</v>
      </c>
      <c r="H23" s="36">
        <v>21101</v>
      </c>
      <c r="I23" s="37" t="s">
        <v>73</v>
      </c>
      <c r="J23" s="38" t="s">
        <v>90</v>
      </c>
      <c r="K23" s="30" t="s">
        <v>121</v>
      </c>
      <c r="L23" s="30">
        <v>2025020117</v>
      </c>
      <c r="M23" s="30" t="s">
        <v>37</v>
      </c>
      <c r="N23" s="30" t="s">
        <v>139</v>
      </c>
      <c r="O23" s="39">
        <v>5</v>
      </c>
      <c r="P23" s="28">
        <f>103.6/O23</f>
        <v>20.72</v>
      </c>
      <c r="Q23" s="30" t="s">
        <v>57</v>
      </c>
      <c r="R23" s="29">
        <f t="shared" si="1"/>
        <v>103.6</v>
      </c>
      <c r="S23" s="29">
        <f t="shared" si="0"/>
        <v>103.6</v>
      </c>
    </row>
    <row r="24" spans="1:19" s="16" customFormat="1" ht="46.5" customHeight="1" x14ac:dyDescent="0.35">
      <c r="A24" s="32" t="s">
        <v>18</v>
      </c>
      <c r="B24" s="33" t="s">
        <v>23</v>
      </c>
      <c r="C24" s="33" t="s">
        <v>24</v>
      </c>
      <c r="D24" s="34" t="s">
        <v>19</v>
      </c>
      <c r="E24" s="31" t="s">
        <v>20</v>
      </c>
      <c r="F24" s="35">
        <v>1</v>
      </c>
      <c r="G24" s="36" t="s">
        <v>21</v>
      </c>
      <c r="H24" s="36">
        <v>21101</v>
      </c>
      <c r="I24" s="37" t="s">
        <v>73</v>
      </c>
      <c r="J24" s="38" t="s">
        <v>91</v>
      </c>
      <c r="K24" s="30" t="s">
        <v>122</v>
      </c>
      <c r="L24" s="30">
        <v>2025020117</v>
      </c>
      <c r="M24" s="30" t="s">
        <v>37</v>
      </c>
      <c r="N24" s="30" t="s">
        <v>44</v>
      </c>
      <c r="O24" s="39">
        <v>24</v>
      </c>
      <c r="P24" s="28">
        <f>291.84/O24</f>
        <v>12.159999999999998</v>
      </c>
      <c r="Q24" s="30" t="s">
        <v>57</v>
      </c>
      <c r="R24" s="29">
        <f t="shared" si="1"/>
        <v>291.83999999999997</v>
      </c>
      <c r="S24" s="29">
        <f t="shared" si="0"/>
        <v>291.83999999999997</v>
      </c>
    </row>
    <row r="25" spans="1:19" s="16" customFormat="1" ht="46.5" customHeight="1" x14ac:dyDescent="0.35">
      <c r="A25" s="32" t="s">
        <v>18</v>
      </c>
      <c r="B25" s="33" t="s">
        <v>23</v>
      </c>
      <c r="C25" s="33" t="s">
        <v>24</v>
      </c>
      <c r="D25" s="34" t="s">
        <v>19</v>
      </c>
      <c r="E25" s="31" t="s">
        <v>20</v>
      </c>
      <c r="F25" s="35">
        <v>1</v>
      </c>
      <c r="G25" s="36" t="s">
        <v>21</v>
      </c>
      <c r="H25" s="36">
        <v>21101</v>
      </c>
      <c r="I25" s="37" t="s">
        <v>73</v>
      </c>
      <c r="J25" s="38" t="s">
        <v>92</v>
      </c>
      <c r="K25" s="30" t="s">
        <v>123</v>
      </c>
      <c r="L25" s="30">
        <v>2025020117</v>
      </c>
      <c r="M25" s="30" t="s">
        <v>37</v>
      </c>
      <c r="N25" s="30" t="s">
        <v>136</v>
      </c>
      <c r="O25" s="39">
        <v>120</v>
      </c>
      <c r="P25" s="28">
        <f>9889.2/O25</f>
        <v>82.410000000000011</v>
      </c>
      <c r="Q25" s="30" t="s">
        <v>57</v>
      </c>
      <c r="R25" s="29">
        <f t="shared" si="1"/>
        <v>9889.2000000000007</v>
      </c>
      <c r="S25" s="29">
        <f t="shared" si="0"/>
        <v>9889.2000000000007</v>
      </c>
    </row>
    <row r="26" spans="1:19" s="16" customFormat="1" ht="46.5" customHeight="1" x14ac:dyDescent="0.35">
      <c r="A26" s="32" t="s">
        <v>18</v>
      </c>
      <c r="B26" s="33" t="s">
        <v>23</v>
      </c>
      <c r="C26" s="33" t="s">
        <v>24</v>
      </c>
      <c r="D26" s="34" t="s">
        <v>19</v>
      </c>
      <c r="E26" s="31" t="s">
        <v>20</v>
      </c>
      <c r="F26" s="35">
        <v>1</v>
      </c>
      <c r="G26" s="36" t="s">
        <v>21</v>
      </c>
      <c r="H26" s="36">
        <v>21101</v>
      </c>
      <c r="I26" s="37" t="s">
        <v>73</v>
      </c>
      <c r="J26" s="38" t="s">
        <v>93</v>
      </c>
      <c r="K26" s="30" t="s">
        <v>124</v>
      </c>
      <c r="L26" s="30">
        <v>2025020117</v>
      </c>
      <c r="M26" s="30" t="s">
        <v>37</v>
      </c>
      <c r="N26" s="30" t="s">
        <v>140</v>
      </c>
      <c r="O26" s="39">
        <v>125</v>
      </c>
      <c r="P26" s="28">
        <f>748.75/O26</f>
        <v>5.99</v>
      </c>
      <c r="Q26" s="30" t="s">
        <v>57</v>
      </c>
      <c r="R26" s="29">
        <f t="shared" si="1"/>
        <v>748.75</v>
      </c>
      <c r="S26" s="29">
        <f t="shared" si="0"/>
        <v>748.75</v>
      </c>
    </row>
    <row r="27" spans="1:19" s="16" customFormat="1" ht="46.5" customHeight="1" x14ac:dyDescent="0.35">
      <c r="A27" s="32" t="s">
        <v>18</v>
      </c>
      <c r="B27" s="33" t="s">
        <v>23</v>
      </c>
      <c r="C27" s="33" t="s">
        <v>24</v>
      </c>
      <c r="D27" s="34" t="s">
        <v>19</v>
      </c>
      <c r="E27" s="31" t="s">
        <v>20</v>
      </c>
      <c r="F27" s="35">
        <v>1</v>
      </c>
      <c r="G27" s="36" t="s">
        <v>21</v>
      </c>
      <c r="H27" s="36">
        <v>21101</v>
      </c>
      <c r="I27" s="37" t="s">
        <v>73</v>
      </c>
      <c r="J27" s="38" t="s">
        <v>94</v>
      </c>
      <c r="K27" s="30" t="s">
        <v>125</v>
      </c>
      <c r="L27" s="30">
        <v>2025020117</v>
      </c>
      <c r="M27" s="30" t="s">
        <v>37</v>
      </c>
      <c r="N27" s="30" t="s">
        <v>44</v>
      </c>
      <c r="O27" s="39">
        <v>12</v>
      </c>
      <c r="P27" s="28">
        <f>345.24/O27</f>
        <v>28.77</v>
      </c>
      <c r="Q27" s="30" t="s">
        <v>57</v>
      </c>
      <c r="R27" s="29">
        <f t="shared" si="1"/>
        <v>345.24</v>
      </c>
      <c r="S27" s="29">
        <f t="shared" si="0"/>
        <v>345.24</v>
      </c>
    </row>
    <row r="28" spans="1:19" s="16" customFormat="1" ht="46.5" customHeight="1" x14ac:dyDescent="0.35">
      <c r="A28" s="32" t="s">
        <v>18</v>
      </c>
      <c r="B28" s="33" t="s">
        <v>23</v>
      </c>
      <c r="C28" s="33" t="s">
        <v>24</v>
      </c>
      <c r="D28" s="34" t="s">
        <v>19</v>
      </c>
      <c r="E28" s="31" t="s">
        <v>20</v>
      </c>
      <c r="F28" s="35">
        <v>1</v>
      </c>
      <c r="G28" s="36" t="s">
        <v>21</v>
      </c>
      <c r="H28" s="36">
        <v>21101</v>
      </c>
      <c r="I28" s="37" t="s">
        <v>73</v>
      </c>
      <c r="J28" s="38" t="s">
        <v>95</v>
      </c>
      <c r="K28" s="30" t="s">
        <v>126</v>
      </c>
      <c r="L28" s="30">
        <v>2025020117</v>
      </c>
      <c r="M28" s="30" t="s">
        <v>37</v>
      </c>
      <c r="N28" s="30" t="s">
        <v>44</v>
      </c>
      <c r="O28" s="39">
        <v>1</v>
      </c>
      <c r="P28" s="28">
        <f>703.58/O28</f>
        <v>703.58</v>
      </c>
      <c r="Q28" s="30" t="s">
        <v>57</v>
      </c>
      <c r="R28" s="29">
        <f t="shared" si="1"/>
        <v>703.58</v>
      </c>
      <c r="S28" s="29">
        <f t="shared" si="0"/>
        <v>703.58</v>
      </c>
    </row>
    <row r="29" spans="1:19" s="16" customFormat="1" ht="46.5" customHeight="1" x14ac:dyDescent="0.35">
      <c r="A29" s="32" t="s">
        <v>18</v>
      </c>
      <c r="B29" s="33" t="s">
        <v>23</v>
      </c>
      <c r="C29" s="33" t="s">
        <v>24</v>
      </c>
      <c r="D29" s="34" t="s">
        <v>19</v>
      </c>
      <c r="E29" s="31" t="s">
        <v>20</v>
      </c>
      <c r="F29" s="35">
        <v>1</v>
      </c>
      <c r="G29" s="36" t="s">
        <v>21</v>
      </c>
      <c r="H29" s="36">
        <v>21101</v>
      </c>
      <c r="I29" s="37" t="s">
        <v>73</v>
      </c>
      <c r="J29" s="38" t="s">
        <v>96</v>
      </c>
      <c r="K29" s="30" t="s">
        <v>127</v>
      </c>
      <c r="L29" s="30">
        <v>2025020117</v>
      </c>
      <c r="M29" s="30" t="s">
        <v>37</v>
      </c>
      <c r="N29" s="30" t="s">
        <v>44</v>
      </c>
      <c r="O29" s="39">
        <v>24</v>
      </c>
      <c r="P29" s="28">
        <f>587.76/O29</f>
        <v>24.49</v>
      </c>
      <c r="Q29" s="30" t="s">
        <v>57</v>
      </c>
      <c r="R29" s="29">
        <f t="shared" si="1"/>
        <v>587.76</v>
      </c>
      <c r="S29" s="29">
        <f t="shared" si="0"/>
        <v>587.76</v>
      </c>
    </row>
    <row r="30" spans="1:19" s="16" customFormat="1" ht="46.5" customHeight="1" x14ac:dyDescent="0.35">
      <c r="A30" s="32" t="s">
        <v>18</v>
      </c>
      <c r="B30" s="33" t="s">
        <v>23</v>
      </c>
      <c r="C30" s="33" t="s">
        <v>24</v>
      </c>
      <c r="D30" s="34" t="s">
        <v>19</v>
      </c>
      <c r="E30" s="31" t="s">
        <v>20</v>
      </c>
      <c r="F30" s="35">
        <v>1</v>
      </c>
      <c r="G30" s="36" t="s">
        <v>21</v>
      </c>
      <c r="H30" s="36">
        <v>21101</v>
      </c>
      <c r="I30" s="37" t="s">
        <v>73</v>
      </c>
      <c r="J30" s="38" t="s">
        <v>97</v>
      </c>
      <c r="K30" s="30" t="s">
        <v>128</v>
      </c>
      <c r="L30" s="30">
        <v>2025020117</v>
      </c>
      <c r="M30" s="30" t="s">
        <v>37</v>
      </c>
      <c r="N30" s="30" t="s">
        <v>44</v>
      </c>
      <c r="O30" s="39">
        <v>12</v>
      </c>
      <c r="P30" s="28">
        <f>293.88/O30</f>
        <v>24.49</v>
      </c>
      <c r="Q30" s="30" t="s">
        <v>57</v>
      </c>
      <c r="R30" s="29">
        <f t="shared" si="1"/>
        <v>293.88</v>
      </c>
      <c r="S30" s="29">
        <f t="shared" si="0"/>
        <v>293.88</v>
      </c>
    </row>
    <row r="31" spans="1:19" s="16" customFormat="1" ht="46.5" customHeight="1" x14ac:dyDescent="0.35">
      <c r="A31" s="32" t="s">
        <v>18</v>
      </c>
      <c r="B31" s="33" t="s">
        <v>23</v>
      </c>
      <c r="C31" s="33" t="s">
        <v>24</v>
      </c>
      <c r="D31" s="34" t="s">
        <v>19</v>
      </c>
      <c r="E31" s="31" t="s">
        <v>20</v>
      </c>
      <c r="F31" s="35">
        <v>1</v>
      </c>
      <c r="G31" s="36" t="s">
        <v>21</v>
      </c>
      <c r="H31" s="36">
        <v>21101</v>
      </c>
      <c r="I31" s="37" t="s">
        <v>73</v>
      </c>
      <c r="J31" s="38" t="s">
        <v>98</v>
      </c>
      <c r="K31" s="30" t="s">
        <v>129</v>
      </c>
      <c r="L31" s="30">
        <v>2025020117</v>
      </c>
      <c r="M31" s="30" t="s">
        <v>37</v>
      </c>
      <c r="N31" s="30" t="s">
        <v>44</v>
      </c>
      <c r="O31" s="39">
        <v>20</v>
      </c>
      <c r="P31" s="28">
        <f>923.2/O31</f>
        <v>46.160000000000004</v>
      </c>
      <c r="Q31" s="30" t="s">
        <v>57</v>
      </c>
      <c r="R31" s="29">
        <f t="shared" si="1"/>
        <v>923.2</v>
      </c>
      <c r="S31" s="29">
        <f t="shared" si="0"/>
        <v>923.2</v>
      </c>
    </row>
    <row r="32" spans="1:19" s="16" customFormat="1" ht="46.5" customHeight="1" x14ac:dyDescent="0.35">
      <c r="A32" s="32" t="s">
        <v>18</v>
      </c>
      <c r="B32" s="33" t="s">
        <v>23</v>
      </c>
      <c r="C32" s="33" t="s">
        <v>24</v>
      </c>
      <c r="D32" s="34" t="s">
        <v>19</v>
      </c>
      <c r="E32" s="31" t="s">
        <v>20</v>
      </c>
      <c r="F32" s="35">
        <v>1</v>
      </c>
      <c r="G32" s="36" t="s">
        <v>21</v>
      </c>
      <c r="H32" s="36">
        <v>21101</v>
      </c>
      <c r="I32" s="37" t="s">
        <v>73</v>
      </c>
      <c r="J32" s="38" t="s">
        <v>99</v>
      </c>
      <c r="K32" s="30" t="s">
        <v>130</v>
      </c>
      <c r="L32" s="30">
        <v>2025020117</v>
      </c>
      <c r="M32" s="30" t="s">
        <v>37</v>
      </c>
      <c r="N32" s="30" t="s">
        <v>44</v>
      </c>
      <c r="O32" s="39">
        <v>5</v>
      </c>
      <c r="P32" s="28">
        <f>22.8/O32</f>
        <v>4.5600000000000005</v>
      </c>
      <c r="Q32" s="30" t="s">
        <v>57</v>
      </c>
      <c r="R32" s="29">
        <f t="shared" si="1"/>
        <v>22.800000000000004</v>
      </c>
      <c r="S32" s="29">
        <f t="shared" si="0"/>
        <v>22.800000000000004</v>
      </c>
    </row>
    <row r="33" spans="1:19" s="16" customFormat="1" ht="46.5" customHeight="1" x14ac:dyDescent="0.35">
      <c r="A33" s="32" t="s">
        <v>18</v>
      </c>
      <c r="B33" s="33" t="s">
        <v>23</v>
      </c>
      <c r="C33" s="33" t="s">
        <v>24</v>
      </c>
      <c r="D33" s="34" t="s">
        <v>19</v>
      </c>
      <c r="E33" s="31" t="s">
        <v>20</v>
      </c>
      <c r="F33" s="35">
        <v>1</v>
      </c>
      <c r="G33" s="36" t="s">
        <v>21</v>
      </c>
      <c r="H33" s="36">
        <v>21101</v>
      </c>
      <c r="I33" s="37" t="s">
        <v>73</v>
      </c>
      <c r="J33" s="38" t="s">
        <v>100</v>
      </c>
      <c r="K33" s="30" t="s">
        <v>131</v>
      </c>
      <c r="L33" s="30">
        <v>2025020117</v>
      </c>
      <c r="M33" s="30" t="s">
        <v>37</v>
      </c>
      <c r="N33" s="30" t="s">
        <v>44</v>
      </c>
      <c r="O33" s="39">
        <v>100</v>
      </c>
      <c r="P33" s="28">
        <f>245/O33</f>
        <v>2.4500000000000002</v>
      </c>
      <c r="Q33" s="30" t="s">
        <v>57</v>
      </c>
      <c r="R33" s="29">
        <f t="shared" si="1"/>
        <v>245.00000000000003</v>
      </c>
      <c r="S33" s="29">
        <f t="shared" si="0"/>
        <v>245.00000000000003</v>
      </c>
    </row>
    <row r="34" spans="1:19" s="16" customFormat="1" ht="46.5" customHeight="1" x14ac:dyDescent="0.35">
      <c r="A34" s="32" t="s">
        <v>18</v>
      </c>
      <c r="B34" s="33" t="s">
        <v>23</v>
      </c>
      <c r="C34" s="33" t="s">
        <v>24</v>
      </c>
      <c r="D34" s="34" t="s">
        <v>19</v>
      </c>
      <c r="E34" s="31" t="s">
        <v>20</v>
      </c>
      <c r="F34" s="35">
        <v>1</v>
      </c>
      <c r="G34" s="36" t="s">
        <v>21</v>
      </c>
      <c r="H34" s="36">
        <v>21101</v>
      </c>
      <c r="I34" s="37" t="s">
        <v>73</v>
      </c>
      <c r="J34" s="38" t="s">
        <v>101</v>
      </c>
      <c r="K34" s="30" t="s">
        <v>132</v>
      </c>
      <c r="L34" s="30">
        <v>2025020117</v>
      </c>
      <c r="M34" s="30" t="s">
        <v>37</v>
      </c>
      <c r="N34" s="30" t="s">
        <v>44</v>
      </c>
      <c r="O34" s="39">
        <v>10</v>
      </c>
      <c r="P34" s="28">
        <f>880.7/O34</f>
        <v>88.070000000000007</v>
      </c>
      <c r="Q34" s="30" t="s">
        <v>57</v>
      </c>
      <c r="R34" s="29">
        <f t="shared" si="1"/>
        <v>880.7</v>
      </c>
      <c r="S34" s="29">
        <f t="shared" si="0"/>
        <v>880.7</v>
      </c>
    </row>
    <row r="35" spans="1:19" s="16" customFormat="1" ht="46.5" customHeight="1" x14ac:dyDescent="0.35">
      <c r="A35" s="32" t="s">
        <v>18</v>
      </c>
      <c r="B35" s="33" t="s">
        <v>23</v>
      </c>
      <c r="C35" s="33" t="s">
        <v>24</v>
      </c>
      <c r="D35" s="34" t="s">
        <v>19</v>
      </c>
      <c r="E35" s="31" t="s">
        <v>20</v>
      </c>
      <c r="F35" s="35">
        <v>1</v>
      </c>
      <c r="G35" s="36" t="s">
        <v>21</v>
      </c>
      <c r="H35" s="36">
        <v>21101</v>
      </c>
      <c r="I35" s="37" t="s">
        <v>73</v>
      </c>
      <c r="J35" s="38" t="s">
        <v>102</v>
      </c>
      <c r="K35" s="30" t="s">
        <v>133</v>
      </c>
      <c r="L35" s="30">
        <v>2025020117</v>
      </c>
      <c r="M35" s="30" t="s">
        <v>37</v>
      </c>
      <c r="N35" s="30" t="s">
        <v>44</v>
      </c>
      <c r="O35" s="39">
        <v>10</v>
      </c>
      <c r="P35" s="28">
        <f>348.7/O35</f>
        <v>34.869999999999997</v>
      </c>
      <c r="Q35" s="30" t="s">
        <v>57</v>
      </c>
      <c r="R35" s="29">
        <f t="shared" si="1"/>
        <v>348.7</v>
      </c>
      <c r="S35" s="29">
        <f t="shared" si="0"/>
        <v>348.7</v>
      </c>
    </row>
    <row r="36" spans="1:19" s="16" customFormat="1" ht="46.5" customHeight="1" x14ac:dyDescent="0.35">
      <c r="A36" s="32" t="s">
        <v>18</v>
      </c>
      <c r="B36" s="33" t="s">
        <v>23</v>
      </c>
      <c r="C36" s="33" t="s">
        <v>24</v>
      </c>
      <c r="D36" s="34" t="s">
        <v>19</v>
      </c>
      <c r="E36" s="31" t="s">
        <v>20</v>
      </c>
      <c r="F36" s="35">
        <v>1</v>
      </c>
      <c r="G36" s="36" t="s">
        <v>21</v>
      </c>
      <c r="H36" s="36">
        <v>21101</v>
      </c>
      <c r="I36" s="37" t="s">
        <v>73</v>
      </c>
      <c r="J36" s="38" t="s">
        <v>103</v>
      </c>
      <c r="K36" s="30" t="s">
        <v>134</v>
      </c>
      <c r="L36" s="30">
        <v>2025020117</v>
      </c>
      <c r="M36" s="30" t="s">
        <v>37</v>
      </c>
      <c r="N36" s="30" t="s">
        <v>44</v>
      </c>
      <c r="O36" s="39">
        <v>6</v>
      </c>
      <c r="P36" s="28">
        <f>985.38/O36</f>
        <v>164.23</v>
      </c>
      <c r="Q36" s="30" t="s">
        <v>57</v>
      </c>
      <c r="R36" s="29">
        <f t="shared" si="1"/>
        <v>985.37999999999988</v>
      </c>
      <c r="S36" s="29">
        <f t="shared" si="0"/>
        <v>985.37999999999988</v>
      </c>
    </row>
    <row r="37" spans="1:19" s="16" customFormat="1" ht="46.5" customHeight="1" x14ac:dyDescent="0.35">
      <c r="A37" s="32" t="s">
        <v>18</v>
      </c>
      <c r="B37" s="33" t="s">
        <v>23</v>
      </c>
      <c r="C37" s="33" t="s">
        <v>24</v>
      </c>
      <c r="D37" s="34" t="s">
        <v>19</v>
      </c>
      <c r="E37" s="31" t="s">
        <v>20</v>
      </c>
      <c r="F37" s="35">
        <v>1</v>
      </c>
      <c r="G37" s="36" t="s">
        <v>21</v>
      </c>
      <c r="H37" s="36">
        <v>21101</v>
      </c>
      <c r="I37" s="37" t="s">
        <v>73</v>
      </c>
      <c r="J37" s="38" t="s">
        <v>104</v>
      </c>
      <c r="K37" s="30" t="s">
        <v>135</v>
      </c>
      <c r="L37" s="30">
        <v>2025020117</v>
      </c>
      <c r="M37" s="30" t="s">
        <v>37</v>
      </c>
      <c r="N37" s="30" t="s">
        <v>136</v>
      </c>
      <c r="O37" s="39">
        <v>5</v>
      </c>
      <c r="P37" s="28">
        <f>395.5/O37</f>
        <v>79.099999999999994</v>
      </c>
      <c r="Q37" s="30" t="s">
        <v>57</v>
      </c>
      <c r="R37" s="29">
        <f t="shared" si="1"/>
        <v>395.5</v>
      </c>
      <c r="S37" s="29">
        <f t="shared" si="0"/>
        <v>395.5</v>
      </c>
    </row>
    <row r="38" spans="1:19" s="16" customFormat="1" ht="46.5" customHeight="1" x14ac:dyDescent="0.35">
      <c r="A38" s="32" t="s">
        <v>18</v>
      </c>
      <c r="B38" s="33" t="s">
        <v>23</v>
      </c>
      <c r="C38" s="33" t="s">
        <v>24</v>
      </c>
      <c r="D38" s="34" t="s">
        <v>19</v>
      </c>
      <c r="E38" s="31" t="s">
        <v>36</v>
      </c>
      <c r="F38" s="35">
        <v>43</v>
      </c>
      <c r="G38" s="36" t="s">
        <v>65</v>
      </c>
      <c r="H38" s="36">
        <v>21101</v>
      </c>
      <c r="I38" s="37" t="s">
        <v>73</v>
      </c>
      <c r="J38" s="38" t="s">
        <v>104</v>
      </c>
      <c r="K38" s="30" t="s">
        <v>135</v>
      </c>
      <c r="L38" s="30" t="s">
        <v>37</v>
      </c>
      <c r="M38" s="30" t="s">
        <v>37</v>
      </c>
      <c r="N38" s="30" t="s">
        <v>136</v>
      </c>
      <c r="O38" s="39">
        <v>1</v>
      </c>
      <c r="P38" s="28">
        <f>79.3/O38</f>
        <v>79.3</v>
      </c>
      <c r="Q38" s="30" t="s">
        <v>57</v>
      </c>
      <c r="R38" s="29">
        <f t="shared" ref="R38:R60" si="2">O38*P38</f>
        <v>79.3</v>
      </c>
      <c r="S38" s="29">
        <f t="shared" si="0"/>
        <v>79.3</v>
      </c>
    </row>
    <row r="39" spans="1:19" s="16" customFormat="1" ht="46.5" customHeight="1" x14ac:dyDescent="0.35">
      <c r="A39" s="32" t="s">
        <v>18</v>
      </c>
      <c r="B39" s="33" t="s">
        <v>23</v>
      </c>
      <c r="C39" s="33" t="s">
        <v>24</v>
      </c>
      <c r="D39" s="34" t="s">
        <v>19</v>
      </c>
      <c r="E39" s="31" t="s">
        <v>36</v>
      </c>
      <c r="F39" s="35">
        <v>43</v>
      </c>
      <c r="G39" s="36" t="s">
        <v>65</v>
      </c>
      <c r="H39" s="36">
        <v>21101</v>
      </c>
      <c r="I39" s="37" t="s">
        <v>73</v>
      </c>
      <c r="J39" s="38" t="s">
        <v>141</v>
      </c>
      <c r="K39" s="30" t="s">
        <v>142</v>
      </c>
      <c r="L39" s="30" t="s">
        <v>37</v>
      </c>
      <c r="M39" s="30" t="s">
        <v>37</v>
      </c>
      <c r="N39" s="30" t="s">
        <v>44</v>
      </c>
      <c r="O39" s="39">
        <v>5</v>
      </c>
      <c r="P39" s="28">
        <f>2064.8/O39</f>
        <v>412.96000000000004</v>
      </c>
      <c r="Q39" s="30" t="s">
        <v>57</v>
      </c>
      <c r="R39" s="29">
        <f t="shared" si="2"/>
        <v>2064.8000000000002</v>
      </c>
      <c r="S39" s="29">
        <f t="shared" si="0"/>
        <v>2064.8000000000002</v>
      </c>
    </row>
    <row r="40" spans="1:19" s="16" customFormat="1" ht="46.5" customHeight="1" x14ac:dyDescent="0.35">
      <c r="A40" s="32" t="s">
        <v>18</v>
      </c>
      <c r="B40" s="33" t="s">
        <v>23</v>
      </c>
      <c r="C40" s="33" t="s">
        <v>24</v>
      </c>
      <c r="D40" s="34" t="s">
        <v>19</v>
      </c>
      <c r="E40" s="31" t="s">
        <v>36</v>
      </c>
      <c r="F40" s="35">
        <v>43</v>
      </c>
      <c r="G40" s="36" t="s">
        <v>65</v>
      </c>
      <c r="H40" s="36">
        <v>21101</v>
      </c>
      <c r="I40" s="37" t="s">
        <v>73</v>
      </c>
      <c r="J40" s="38" t="s">
        <v>76</v>
      </c>
      <c r="K40" s="30" t="s">
        <v>107</v>
      </c>
      <c r="L40" s="30" t="s">
        <v>37</v>
      </c>
      <c r="M40" s="30" t="s">
        <v>37</v>
      </c>
      <c r="N40" s="30" t="s">
        <v>137</v>
      </c>
      <c r="O40" s="39">
        <v>3</v>
      </c>
      <c r="P40" s="28">
        <f>68.7/O40</f>
        <v>22.900000000000002</v>
      </c>
      <c r="Q40" s="30" t="s">
        <v>57</v>
      </c>
      <c r="R40" s="29">
        <f t="shared" si="2"/>
        <v>68.7</v>
      </c>
      <c r="S40" s="29">
        <f t="shared" si="0"/>
        <v>68.7</v>
      </c>
    </row>
    <row r="41" spans="1:19" s="16" customFormat="1" ht="46.5" customHeight="1" x14ac:dyDescent="0.35">
      <c r="A41" s="32" t="s">
        <v>18</v>
      </c>
      <c r="B41" s="33" t="s">
        <v>23</v>
      </c>
      <c r="C41" s="33" t="s">
        <v>24</v>
      </c>
      <c r="D41" s="34" t="s">
        <v>19</v>
      </c>
      <c r="E41" s="31" t="s">
        <v>36</v>
      </c>
      <c r="F41" s="35">
        <v>43</v>
      </c>
      <c r="G41" s="36" t="s">
        <v>65</v>
      </c>
      <c r="H41" s="36">
        <v>21101</v>
      </c>
      <c r="I41" s="37" t="s">
        <v>73</v>
      </c>
      <c r="J41" s="38" t="s">
        <v>143</v>
      </c>
      <c r="K41" s="30" t="s">
        <v>144</v>
      </c>
      <c r="L41" s="30" t="s">
        <v>37</v>
      </c>
      <c r="M41" s="30" t="s">
        <v>37</v>
      </c>
      <c r="N41" s="30" t="s">
        <v>44</v>
      </c>
      <c r="O41" s="39">
        <v>2</v>
      </c>
      <c r="P41" s="28">
        <f>92.1/O41</f>
        <v>46.05</v>
      </c>
      <c r="Q41" s="30" t="s">
        <v>57</v>
      </c>
      <c r="R41" s="29">
        <f t="shared" si="2"/>
        <v>92.1</v>
      </c>
      <c r="S41" s="29">
        <f t="shared" si="0"/>
        <v>92.1</v>
      </c>
    </row>
    <row r="42" spans="1:19" s="16" customFormat="1" ht="46.5" customHeight="1" x14ac:dyDescent="0.35">
      <c r="A42" s="32" t="s">
        <v>18</v>
      </c>
      <c r="B42" s="33" t="s">
        <v>23</v>
      </c>
      <c r="C42" s="33" t="s">
        <v>24</v>
      </c>
      <c r="D42" s="34" t="s">
        <v>19</v>
      </c>
      <c r="E42" s="31" t="s">
        <v>36</v>
      </c>
      <c r="F42" s="35">
        <v>43</v>
      </c>
      <c r="G42" s="36" t="s">
        <v>65</v>
      </c>
      <c r="H42" s="36">
        <v>21101</v>
      </c>
      <c r="I42" s="37" t="s">
        <v>73</v>
      </c>
      <c r="J42" s="38" t="s">
        <v>145</v>
      </c>
      <c r="K42" s="30" t="s">
        <v>146</v>
      </c>
      <c r="L42" s="30" t="s">
        <v>37</v>
      </c>
      <c r="M42" s="30" t="s">
        <v>37</v>
      </c>
      <c r="N42" s="30" t="s">
        <v>140</v>
      </c>
      <c r="O42" s="39">
        <v>2</v>
      </c>
      <c r="P42" s="28">
        <f>157.02/O42</f>
        <v>78.510000000000005</v>
      </c>
      <c r="Q42" s="30" t="s">
        <v>57</v>
      </c>
      <c r="R42" s="29">
        <f t="shared" si="2"/>
        <v>157.02000000000001</v>
      </c>
      <c r="S42" s="29">
        <f t="shared" si="0"/>
        <v>157.02000000000001</v>
      </c>
    </row>
    <row r="43" spans="1:19" s="16" customFormat="1" ht="46.5" customHeight="1" x14ac:dyDescent="0.35">
      <c r="A43" s="32" t="s">
        <v>18</v>
      </c>
      <c r="B43" s="33" t="s">
        <v>23</v>
      </c>
      <c r="C43" s="33" t="s">
        <v>24</v>
      </c>
      <c r="D43" s="34" t="s">
        <v>19</v>
      </c>
      <c r="E43" s="31" t="s">
        <v>36</v>
      </c>
      <c r="F43" s="35">
        <v>43</v>
      </c>
      <c r="G43" s="36" t="s">
        <v>65</v>
      </c>
      <c r="H43" s="36">
        <v>21101</v>
      </c>
      <c r="I43" s="37" t="s">
        <v>73</v>
      </c>
      <c r="J43" s="38" t="s">
        <v>147</v>
      </c>
      <c r="K43" s="30" t="s">
        <v>148</v>
      </c>
      <c r="L43" s="30" t="s">
        <v>37</v>
      </c>
      <c r="M43" s="30" t="s">
        <v>37</v>
      </c>
      <c r="N43" s="30" t="s">
        <v>136</v>
      </c>
      <c r="O43" s="39">
        <v>2</v>
      </c>
      <c r="P43" s="28">
        <f>230.4/O43</f>
        <v>115.2</v>
      </c>
      <c r="Q43" s="30" t="s">
        <v>57</v>
      </c>
      <c r="R43" s="29">
        <f t="shared" si="2"/>
        <v>230.4</v>
      </c>
      <c r="S43" s="29">
        <f t="shared" si="0"/>
        <v>230.4</v>
      </c>
    </row>
    <row r="44" spans="1:19" s="16" customFormat="1" ht="46.5" customHeight="1" x14ac:dyDescent="0.35">
      <c r="A44" s="32" t="s">
        <v>18</v>
      </c>
      <c r="B44" s="33" t="s">
        <v>23</v>
      </c>
      <c r="C44" s="33" t="s">
        <v>24</v>
      </c>
      <c r="D44" s="34" t="s">
        <v>19</v>
      </c>
      <c r="E44" s="31" t="s">
        <v>36</v>
      </c>
      <c r="F44" s="35">
        <v>43</v>
      </c>
      <c r="G44" s="36" t="s">
        <v>65</v>
      </c>
      <c r="H44" s="36">
        <v>21101</v>
      </c>
      <c r="I44" s="37" t="s">
        <v>73</v>
      </c>
      <c r="J44" s="38" t="s">
        <v>149</v>
      </c>
      <c r="K44" s="30" t="s">
        <v>150</v>
      </c>
      <c r="L44" s="30" t="s">
        <v>37</v>
      </c>
      <c r="M44" s="30" t="s">
        <v>37</v>
      </c>
      <c r="N44" s="30" t="s">
        <v>166</v>
      </c>
      <c r="O44" s="39">
        <v>2</v>
      </c>
      <c r="P44" s="28">
        <f>71.99/O44</f>
        <v>35.994999999999997</v>
      </c>
      <c r="Q44" s="30" t="s">
        <v>57</v>
      </c>
      <c r="R44" s="29">
        <f t="shared" si="2"/>
        <v>71.989999999999995</v>
      </c>
      <c r="S44" s="29">
        <f t="shared" si="0"/>
        <v>71.989999999999995</v>
      </c>
    </row>
    <row r="45" spans="1:19" s="16" customFormat="1" ht="46.5" customHeight="1" x14ac:dyDescent="0.35">
      <c r="A45" s="32" t="s">
        <v>18</v>
      </c>
      <c r="B45" s="33" t="s">
        <v>23</v>
      </c>
      <c r="C45" s="33" t="s">
        <v>24</v>
      </c>
      <c r="D45" s="34" t="s">
        <v>19</v>
      </c>
      <c r="E45" s="31" t="s">
        <v>36</v>
      </c>
      <c r="F45" s="35">
        <v>43</v>
      </c>
      <c r="G45" s="36" t="s">
        <v>65</v>
      </c>
      <c r="H45" s="36">
        <v>21101</v>
      </c>
      <c r="I45" s="37" t="s">
        <v>73</v>
      </c>
      <c r="J45" s="38" t="s">
        <v>77</v>
      </c>
      <c r="K45" s="30" t="s">
        <v>108</v>
      </c>
      <c r="L45" s="30" t="s">
        <v>37</v>
      </c>
      <c r="M45" s="30" t="s">
        <v>37</v>
      </c>
      <c r="N45" s="30" t="s">
        <v>44</v>
      </c>
      <c r="O45" s="39">
        <v>24</v>
      </c>
      <c r="P45" s="28">
        <f>87.42/O45</f>
        <v>3.6425000000000001</v>
      </c>
      <c r="Q45" s="30" t="s">
        <v>57</v>
      </c>
      <c r="R45" s="29">
        <f t="shared" si="2"/>
        <v>87.42</v>
      </c>
      <c r="S45" s="29">
        <f t="shared" si="0"/>
        <v>87.42</v>
      </c>
    </row>
    <row r="46" spans="1:19" s="16" customFormat="1" ht="46.5" customHeight="1" x14ac:dyDescent="0.35">
      <c r="A46" s="32" t="s">
        <v>18</v>
      </c>
      <c r="B46" s="33" t="s">
        <v>23</v>
      </c>
      <c r="C46" s="33" t="s">
        <v>24</v>
      </c>
      <c r="D46" s="34" t="s">
        <v>19</v>
      </c>
      <c r="E46" s="31" t="s">
        <v>36</v>
      </c>
      <c r="F46" s="35">
        <v>43</v>
      </c>
      <c r="G46" s="36" t="s">
        <v>65</v>
      </c>
      <c r="H46" s="36">
        <v>21101</v>
      </c>
      <c r="I46" s="37" t="s">
        <v>73</v>
      </c>
      <c r="J46" s="38" t="s">
        <v>151</v>
      </c>
      <c r="K46" s="30" t="s">
        <v>152</v>
      </c>
      <c r="L46" s="30" t="s">
        <v>37</v>
      </c>
      <c r="M46" s="30" t="s">
        <v>37</v>
      </c>
      <c r="N46" s="30" t="s">
        <v>44</v>
      </c>
      <c r="O46" s="39">
        <v>10</v>
      </c>
      <c r="P46" s="28">
        <f>277.12/O46</f>
        <v>27.712</v>
      </c>
      <c r="Q46" s="30" t="s">
        <v>57</v>
      </c>
      <c r="R46" s="29">
        <f t="shared" si="2"/>
        <v>277.12</v>
      </c>
      <c r="S46" s="29">
        <f t="shared" si="0"/>
        <v>277.12</v>
      </c>
    </row>
    <row r="47" spans="1:19" s="16" customFormat="1" ht="46.5" customHeight="1" x14ac:dyDescent="0.35">
      <c r="A47" s="32" t="s">
        <v>18</v>
      </c>
      <c r="B47" s="33" t="s">
        <v>23</v>
      </c>
      <c r="C47" s="33" t="s">
        <v>24</v>
      </c>
      <c r="D47" s="34" t="s">
        <v>19</v>
      </c>
      <c r="E47" s="31" t="s">
        <v>36</v>
      </c>
      <c r="F47" s="35">
        <v>43</v>
      </c>
      <c r="G47" s="36" t="s">
        <v>65</v>
      </c>
      <c r="H47" s="36">
        <v>21101</v>
      </c>
      <c r="I47" s="37" t="s">
        <v>73</v>
      </c>
      <c r="J47" s="38" t="s">
        <v>153</v>
      </c>
      <c r="K47" s="30" t="s">
        <v>154</v>
      </c>
      <c r="L47" s="30" t="s">
        <v>37</v>
      </c>
      <c r="M47" s="30" t="s">
        <v>37</v>
      </c>
      <c r="N47" s="30" t="s">
        <v>44</v>
      </c>
      <c r="O47" s="39">
        <v>10</v>
      </c>
      <c r="P47" s="28">
        <f>32.25/O47</f>
        <v>3.2250000000000001</v>
      </c>
      <c r="Q47" s="30" t="s">
        <v>57</v>
      </c>
      <c r="R47" s="29">
        <f t="shared" si="2"/>
        <v>32.25</v>
      </c>
      <c r="S47" s="29">
        <f t="shared" si="0"/>
        <v>32.25</v>
      </c>
    </row>
    <row r="48" spans="1:19" s="16" customFormat="1" ht="46.5" customHeight="1" x14ac:dyDescent="0.35">
      <c r="A48" s="32" t="s">
        <v>18</v>
      </c>
      <c r="B48" s="33" t="s">
        <v>23</v>
      </c>
      <c r="C48" s="33" t="s">
        <v>24</v>
      </c>
      <c r="D48" s="34" t="s">
        <v>19</v>
      </c>
      <c r="E48" s="31" t="s">
        <v>36</v>
      </c>
      <c r="F48" s="35">
        <v>43</v>
      </c>
      <c r="G48" s="36" t="s">
        <v>65</v>
      </c>
      <c r="H48" s="36">
        <v>21101</v>
      </c>
      <c r="I48" s="37" t="s">
        <v>73</v>
      </c>
      <c r="J48" s="38" t="s">
        <v>85</v>
      </c>
      <c r="K48" s="30" t="s">
        <v>116</v>
      </c>
      <c r="L48" s="30" t="s">
        <v>37</v>
      </c>
      <c r="M48" s="30" t="s">
        <v>37</v>
      </c>
      <c r="N48" s="30" t="s">
        <v>44</v>
      </c>
      <c r="O48" s="39">
        <v>200</v>
      </c>
      <c r="P48" s="28">
        <f>473.28/O48</f>
        <v>2.3664000000000001</v>
      </c>
      <c r="Q48" s="30" t="s">
        <v>57</v>
      </c>
      <c r="R48" s="29">
        <f t="shared" si="2"/>
        <v>473.28000000000003</v>
      </c>
      <c r="S48" s="29">
        <f t="shared" si="0"/>
        <v>473.28000000000003</v>
      </c>
    </row>
    <row r="49" spans="1:19" s="16" customFormat="1" ht="46.5" customHeight="1" x14ac:dyDescent="0.35">
      <c r="A49" s="32" t="s">
        <v>18</v>
      </c>
      <c r="B49" s="33" t="s">
        <v>23</v>
      </c>
      <c r="C49" s="33" t="s">
        <v>24</v>
      </c>
      <c r="D49" s="34" t="s">
        <v>19</v>
      </c>
      <c r="E49" s="31" t="s">
        <v>36</v>
      </c>
      <c r="F49" s="35">
        <v>43</v>
      </c>
      <c r="G49" s="36" t="s">
        <v>65</v>
      </c>
      <c r="H49" s="36">
        <v>21101</v>
      </c>
      <c r="I49" s="37" t="s">
        <v>73</v>
      </c>
      <c r="J49" s="38" t="s">
        <v>155</v>
      </c>
      <c r="K49" s="30" t="s">
        <v>121</v>
      </c>
      <c r="L49" s="30" t="s">
        <v>37</v>
      </c>
      <c r="M49" s="30" t="s">
        <v>37</v>
      </c>
      <c r="N49" s="30" t="s">
        <v>138</v>
      </c>
      <c r="O49" s="39">
        <v>5</v>
      </c>
      <c r="P49" s="28">
        <f>103.59/O49</f>
        <v>20.718</v>
      </c>
      <c r="Q49" s="30" t="s">
        <v>57</v>
      </c>
      <c r="R49" s="29">
        <f t="shared" si="2"/>
        <v>103.59</v>
      </c>
      <c r="S49" s="29">
        <f t="shared" si="0"/>
        <v>103.59</v>
      </c>
    </row>
    <row r="50" spans="1:19" s="16" customFormat="1" ht="46.5" customHeight="1" x14ac:dyDescent="0.35">
      <c r="A50" s="32" t="s">
        <v>18</v>
      </c>
      <c r="B50" s="33" t="s">
        <v>23</v>
      </c>
      <c r="C50" s="33" t="s">
        <v>24</v>
      </c>
      <c r="D50" s="34" t="s">
        <v>19</v>
      </c>
      <c r="E50" s="31" t="s">
        <v>36</v>
      </c>
      <c r="F50" s="35">
        <v>43</v>
      </c>
      <c r="G50" s="36" t="s">
        <v>65</v>
      </c>
      <c r="H50" s="36">
        <v>21101</v>
      </c>
      <c r="I50" s="37" t="s">
        <v>73</v>
      </c>
      <c r="J50" s="38" t="s">
        <v>156</v>
      </c>
      <c r="K50" s="30" t="s">
        <v>157</v>
      </c>
      <c r="L50" s="30" t="s">
        <v>37</v>
      </c>
      <c r="M50" s="30" t="s">
        <v>37</v>
      </c>
      <c r="N50" s="30" t="s">
        <v>138</v>
      </c>
      <c r="O50" s="39">
        <v>1</v>
      </c>
      <c r="P50" s="28">
        <f>736.6/O50</f>
        <v>736.6</v>
      </c>
      <c r="Q50" s="30" t="s">
        <v>57</v>
      </c>
      <c r="R50" s="29">
        <f t="shared" si="2"/>
        <v>736.6</v>
      </c>
      <c r="S50" s="29">
        <f t="shared" si="0"/>
        <v>736.6</v>
      </c>
    </row>
    <row r="51" spans="1:19" s="16" customFormat="1" ht="46.5" customHeight="1" x14ac:dyDescent="0.35">
      <c r="A51" s="32" t="s">
        <v>18</v>
      </c>
      <c r="B51" s="33" t="s">
        <v>23</v>
      </c>
      <c r="C51" s="33" t="s">
        <v>24</v>
      </c>
      <c r="D51" s="34" t="s">
        <v>19</v>
      </c>
      <c r="E51" s="31" t="s">
        <v>36</v>
      </c>
      <c r="F51" s="35">
        <v>43</v>
      </c>
      <c r="G51" s="36" t="s">
        <v>65</v>
      </c>
      <c r="H51" s="36">
        <v>21101</v>
      </c>
      <c r="I51" s="37" t="s">
        <v>73</v>
      </c>
      <c r="J51" s="38" t="s">
        <v>92</v>
      </c>
      <c r="K51" s="30" t="s">
        <v>123</v>
      </c>
      <c r="L51" s="30" t="s">
        <v>37</v>
      </c>
      <c r="M51" s="30" t="s">
        <v>37</v>
      </c>
      <c r="N51" s="30" t="s">
        <v>136</v>
      </c>
      <c r="O51" s="39">
        <v>19</v>
      </c>
      <c r="P51" s="28">
        <f>1557.35/O51</f>
        <v>81.965789473684211</v>
      </c>
      <c r="Q51" s="30" t="s">
        <v>57</v>
      </c>
      <c r="R51" s="29">
        <f t="shared" si="2"/>
        <v>1557.35</v>
      </c>
      <c r="S51" s="29">
        <f t="shared" si="0"/>
        <v>1557.35</v>
      </c>
    </row>
    <row r="52" spans="1:19" s="16" customFormat="1" ht="46.5" customHeight="1" x14ac:dyDescent="0.35">
      <c r="A52" s="32" t="s">
        <v>18</v>
      </c>
      <c r="B52" s="33" t="s">
        <v>23</v>
      </c>
      <c r="C52" s="33" t="s">
        <v>24</v>
      </c>
      <c r="D52" s="34" t="s">
        <v>19</v>
      </c>
      <c r="E52" s="31" t="s">
        <v>36</v>
      </c>
      <c r="F52" s="35">
        <v>43</v>
      </c>
      <c r="G52" s="36" t="s">
        <v>65</v>
      </c>
      <c r="H52" s="36">
        <v>21101</v>
      </c>
      <c r="I52" s="37" t="s">
        <v>73</v>
      </c>
      <c r="J52" s="38" t="s">
        <v>96</v>
      </c>
      <c r="K52" s="30" t="s">
        <v>127</v>
      </c>
      <c r="L52" s="30" t="s">
        <v>37</v>
      </c>
      <c r="M52" s="30" t="s">
        <v>37</v>
      </c>
      <c r="N52" s="30" t="s">
        <v>44</v>
      </c>
      <c r="O52" s="39">
        <v>16</v>
      </c>
      <c r="P52" s="28">
        <f>391.8/O52</f>
        <v>24.487500000000001</v>
      </c>
      <c r="Q52" s="30" t="s">
        <v>57</v>
      </c>
      <c r="R52" s="29">
        <f t="shared" si="2"/>
        <v>391.8</v>
      </c>
      <c r="S52" s="29">
        <f t="shared" si="0"/>
        <v>391.8</v>
      </c>
    </row>
    <row r="53" spans="1:19" s="16" customFormat="1" ht="46.5" customHeight="1" x14ac:dyDescent="0.35">
      <c r="A53" s="32" t="s">
        <v>18</v>
      </c>
      <c r="B53" s="33" t="s">
        <v>23</v>
      </c>
      <c r="C53" s="33" t="s">
        <v>24</v>
      </c>
      <c r="D53" s="34" t="s">
        <v>19</v>
      </c>
      <c r="E53" s="31" t="s">
        <v>36</v>
      </c>
      <c r="F53" s="35">
        <v>43</v>
      </c>
      <c r="G53" s="36" t="s">
        <v>65</v>
      </c>
      <c r="H53" s="36">
        <v>21101</v>
      </c>
      <c r="I53" s="37" t="s">
        <v>73</v>
      </c>
      <c r="J53" s="38" t="s">
        <v>97</v>
      </c>
      <c r="K53" s="30" t="s">
        <v>128</v>
      </c>
      <c r="L53" s="30" t="s">
        <v>37</v>
      </c>
      <c r="M53" s="30" t="s">
        <v>37</v>
      </c>
      <c r="N53" s="30" t="s">
        <v>44</v>
      </c>
      <c r="O53" s="39">
        <v>5</v>
      </c>
      <c r="P53" s="28">
        <f>122.44/O53</f>
        <v>24.488</v>
      </c>
      <c r="Q53" s="30" t="s">
        <v>57</v>
      </c>
      <c r="R53" s="29">
        <f t="shared" si="2"/>
        <v>122.44</v>
      </c>
      <c r="S53" s="29">
        <f t="shared" si="0"/>
        <v>122.44</v>
      </c>
    </row>
    <row r="54" spans="1:19" s="16" customFormat="1" ht="46.5" customHeight="1" x14ac:dyDescent="0.35">
      <c r="A54" s="32" t="s">
        <v>18</v>
      </c>
      <c r="B54" s="33" t="s">
        <v>23</v>
      </c>
      <c r="C54" s="33" t="s">
        <v>24</v>
      </c>
      <c r="D54" s="34" t="s">
        <v>19</v>
      </c>
      <c r="E54" s="31" t="s">
        <v>36</v>
      </c>
      <c r="F54" s="35">
        <v>43</v>
      </c>
      <c r="G54" s="36" t="s">
        <v>65</v>
      </c>
      <c r="H54" s="36">
        <v>21101</v>
      </c>
      <c r="I54" s="37" t="s">
        <v>73</v>
      </c>
      <c r="J54" s="38" t="s">
        <v>158</v>
      </c>
      <c r="K54" s="30" t="s">
        <v>159</v>
      </c>
      <c r="L54" s="30" t="s">
        <v>37</v>
      </c>
      <c r="M54" s="30" t="s">
        <v>37</v>
      </c>
      <c r="N54" s="30" t="s">
        <v>138</v>
      </c>
      <c r="O54" s="39">
        <v>10</v>
      </c>
      <c r="P54" s="28">
        <f>348.7/O54</f>
        <v>34.869999999999997</v>
      </c>
      <c r="Q54" s="30" t="s">
        <v>57</v>
      </c>
      <c r="R54" s="29">
        <f t="shared" si="2"/>
        <v>348.7</v>
      </c>
      <c r="S54" s="29">
        <f t="shared" si="0"/>
        <v>348.7</v>
      </c>
    </row>
    <row r="55" spans="1:19" s="16" customFormat="1" ht="46.5" customHeight="1" x14ac:dyDescent="0.35">
      <c r="A55" s="32" t="s">
        <v>18</v>
      </c>
      <c r="B55" s="33" t="s">
        <v>23</v>
      </c>
      <c r="C55" s="33" t="s">
        <v>24</v>
      </c>
      <c r="D55" s="34" t="s">
        <v>19</v>
      </c>
      <c r="E55" s="31" t="s">
        <v>36</v>
      </c>
      <c r="F55" s="35">
        <v>43</v>
      </c>
      <c r="G55" s="36" t="s">
        <v>65</v>
      </c>
      <c r="H55" s="36">
        <v>21101</v>
      </c>
      <c r="I55" s="37" t="s">
        <v>73</v>
      </c>
      <c r="J55" s="38" t="s">
        <v>82</v>
      </c>
      <c r="K55" s="30" t="s">
        <v>113</v>
      </c>
      <c r="L55" s="30" t="s">
        <v>37</v>
      </c>
      <c r="M55" s="30" t="s">
        <v>37</v>
      </c>
      <c r="N55" s="30" t="s">
        <v>138</v>
      </c>
      <c r="O55" s="39">
        <v>3</v>
      </c>
      <c r="P55" s="28">
        <f>113.73/O55</f>
        <v>37.910000000000004</v>
      </c>
      <c r="Q55" s="30" t="s">
        <v>57</v>
      </c>
      <c r="R55" s="29">
        <f t="shared" si="2"/>
        <v>113.73000000000002</v>
      </c>
      <c r="S55" s="29">
        <f t="shared" si="0"/>
        <v>113.73000000000002</v>
      </c>
    </row>
    <row r="56" spans="1:19" s="16" customFormat="1" ht="46.5" customHeight="1" x14ac:dyDescent="0.35">
      <c r="A56" s="32" t="s">
        <v>18</v>
      </c>
      <c r="B56" s="33" t="s">
        <v>23</v>
      </c>
      <c r="C56" s="33" t="s">
        <v>24</v>
      </c>
      <c r="D56" s="34" t="s">
        <v>19</v>
      </c>
      <c r="E56" s="31" t="s">
        <v>36</v>
      </c>
      <c r="F56" s="35">
        <v>43</v>
      </c>
      <c r="G56" s="36" t="s">
        <v>65</v>
      </c>
      <c r="H56" s="36">
        <v>21101</v>
      </c>
      <c r="I56" s="37" t="s">
        <v>73</v>
      </c>
      <c r="J56" s="38" t="s">
        <v>160</v>
      </c>
      <c r="K56" s="30" t="s">
        <v>161</v>
      </c>
      <c r="L56" s="30" t="s">
        <v>37</v>
      </c>
      <c r="M56" s="30" t="s">
        <v>37</v>
      </c>
      <c r="N56" s="30" t="s">
        <v>44</v>
      </c>
      <c r="O56" s="39">
        <v>1</v>
      </c>
      <c r="P56" s="28">
        <f>2.71/O56</f>
        <v>2.71</v>
      </c>
      <c r="Q56" s="30" t="s">
        <v>57</v>
      </c>
      <c r="R56" s="29">
        <f t="shared" si="2"/>
        <v>2.71</v>
      </c>
      <c r="S56" s="29">
        <f t="shared" si="0"/>
        <v>2.71</v>
      </c>
    </row>
    <row r="57" spans="1:19" s="16" customFormat="1" ht="46.5" customHeight="1" x14ac:dyDescent="0.35">
      <c r="A57" s="32" t="s">
        <v>18</v>
      </c>
      <c r="B57" s="33" t="s">
        <v>23</v>
      </c>
      <c r="C57" s="33" t="s">
        <v>24</v>
      </c>
      <c r="D57" s="34" t="s">
        <v>19</v>
      </c>
      <c r="E57" s="31" t="s">
        <v>36</v>
      </c>
      <c r="F57" s="35">
        <v>43</v>
      </c>
      <c r="G57" s="36" t="s">
        <v>65</v>
      </c>
      <c r="H57" s="36">
        <v>21101</v>
      </c>
      <c r="I57" s="37" t="s">
        <v>73</v>
      </c>
      <c r="J57" s="38" t="s">
        <v>87</v>
      </c>
      <c r="K57" s="30" t="s">
        <v>118</v>
      </c>
      <c r="L57" s="30" t="s">
        <v>37</v>
      </c>
      <c r="M57" s="30" t="s">
        <v>37</v>
      </c>
      <c r="N57" s="30" t="s">
        <v>44</v>
      </c>
      <c r="O57" s="39">
        <v>12</v>
      </c>
      <c r="P57" s="28">
        <f>220.91/O57</f>
        <v>18.409166666666668</v>
      </c>
      <c r="Q57" s="30" t="s">
        <v>57</v>
      </c>
      <c r="R57" s="29">
        <f t="shared" si="2"/>
        <v>220.91000000000003</v>
      </c>
      <c r="S57" s="29">
        <f t="shared" si="0"/>
        <v>220.91000000000003</v>
      </c>
    </row>
    <row r="58" spans="1:19" s="16" customFormat="1" ht="46.5" customHeight="1" x14ac:dyDescent="0.35">
      <c r="A58" s="32" t="s">
        <v>18</v>
      </c>
      <c r="B58" s="33" t="s">
        <v>23</v>
      </c>
      <c r="C58" s="33" t="s">
        <v>24</v>
      </c>
      <c r="D58" s="34" t="s">
        <v>19</v>
      </c>
      <c r="E58" s="31" t="s">
        <v>36</v>
      </c>
      <c r="F58" s="35">
        <v>43</v>
      </c>
      <c r="G58" s="36" t="s">
        <v>65</v>
      </c>
      <c r="H58" s="36">
        <v>21101</v>
      </c>
      <c r="I58" s="37" t="s">
        <v>73</v>
      </c>
      <c r="J58" s="38" t="s">
        <v>162</v>
      </c>
      <c r="K58" s="30" t="s">
        <v>163</v>
      </c>
      <c r="L58" s="30" t="s">
        <v>37</v>
      </c>
      <c r="M58" s="30" t="s">
        <v>37</v>
      </c>
      <c r="N58" s="30" t="s">
        <v>138</v>
      </c>
      <c r="O58" s="39">
        <v>2</v>
      </c>
      <c r="P58" s="28">
        <f>1648/O58</f>
        <v>824</v>
      </c>
      <c r="Q58" s="30" t="s">
        <v>57</v>
      </c>
      <c r="R58" s="29">
        <f t="shared" si="2"/>
        <v>1648</v>
      </c>
      <c r="S58" s="29">
        <f t="shared" si="0"/>
        <v>1648</v>
      </c>
    </row>
    <row r="59" spans="1:19" s="16" customFormat="1" ht="46.5" customHeight="1" x14ac:dyDescent="0.35">
      <c r="A59" s="32" t="s">
        <v>18</v>
      </c>
      <c r="B59" s="33" t="s">
        <v>23</v>
      </c>
      <c r="C59" s="33" t="s">
        <v>24</v>
      </c>
      <c r="D59" s="34" t="s">
        <v>19</v>
      </c>
      <c r="E59" s="31" t="s">
        <v>36</v>
      </c>
      <c r="F59" s="35">
        <v>43</v>
      </c>
      <c r="G59" s="36" t="s">
        <v>65</v>
      </c>
      <c r="H59" s="36">
        <v>21101</v>
      </c>
      <c r="I59" s="37" t="s">
        <v>73</v>
      </c>
      <c r="J59" s="38" t="s">
        <v>164</v>
      </c>
      <c r="K59" s="30" t="s">
        <v>165</v>
      </c>
      <c r="L59" s="30" t="s">
        <v>37</v>
      </c>
      <c r="M59" s="30" t="s">
        <v>37</v>
      </c>
      <c r="N59" s="30" t="s">
        <v>44</v>
      </c>
      <c r="O59" s="39">
        <v>2</v>
      </c>
      <c r="P59" s="28">
        <f>375.79/O59</f>
        <v>187.89500000000001</v>
      </c>
      <c r="Q59" s="30" t="s">
        <v>57</v>
      </c>
      <c r="R59" s="29">
        <f t="shared" si="2"/>
        <v>375.79</v>
      </c>
      <c r="S59" s="29">
        <f t="shared" si="0"/>
        <v>375.79</v>
      </c>
    </row>
    <row r="60" spans="1:19" s="16" customFormat="1" ht="52" x14ac:dyDescent="0.35">
      <c r="A60" s="32" t="s">
        <v>18</v>
      </c>
      <c r="B60" s="33" t="s">
        <v>23</v>
      </c>
      <c r="C60" s="33" t="s">
        <v>24</v>
      </c>
      <c r="D60" s="34" t="s">
        <v>19</v>
      </c>
      <c r="E60" s="31" t="s">
        <v>36</v>
      </c>
      <c r="F60" s="35">
        <v>43</v>
      </c>
      <c r="G60" s="36" t="s">
        <v>167</v>
      </c>
      <c r="H60" s="36" t="s">
        <v>32</v>
      </c>
      <c r="I60" s="37" t="s">
        <v>45</v>
      </c>
      <c r="J60" s="38" t="s">
        <v>33</v>
      </c>
      <c r="K60" s="30" t="s">
        <v>34</v>
      </c>
      <c r="L60" s="30" t="s">
        <v>37</v>
      </c>
      <c r="M60" s="30" t="s">
        <v>37</v>
      </c>
      <c r="N60" s="30" t="s">
        <v>31</v>
      </c>
      <c r="O60" s="39">
        <v>1</v>
      </c>
      <c r="P60" s="28">
        <f>12000/O60</f>
        <v>12000</v>
      </c>
      <c r="Q60" s="30" t="s">
        <v>57</v>
      </c>
      <c r="R60" s="29">
        <f t="shared" si="2"/>
        <v>12000</v>
      </c>
      <c r="S60" s="29">
        <f t="shared" si="0"/>
        <v>12000</v>
      </c>
    </row>
    <row r="61" spans="1:19" s="16" customFormat="1" ht="52" x14ac:dyDescent="0.35">
      <c r="A61" s="32" t="s">
        <v>18</v>
      </c>
      <c r="B61" s="33" t="s">
        <v>23</v>
      </c>
      <c r="C61" s="33" t="s">
        <v>24</v>
      </c>
      <c r="D61" s="34" t="s">
        <v>19</v>
      </c>
      <c r="E61" s="31" t="s">
        <v>20</v>
      </c>
      <c r="F61" s="35">
        <v>1</v>
      </c>
      <c r="G61" s="36" t="s">
        <v>21</v>
      </c>
      <c r="H61" s="36" t="s">
        <v>32</v>
      </c>
      <c r="I61" s="37" t="s">
        <v>45</v>
      </c>
      <c r="J61" s="38" t="s">
        <v>27</v>
      </c>
      <c r="K61" s="30" t="s">
        <v>25</v>
      </c>
      <c r="L61" s="30" t="s">
        <v>37</v>
      </c>
      <c r="M61" s="30" t="s">
        <v>37</v>
      </c>
      <c r="N61" s="30" t="s">
        <v>44</v>
      </c>
      <c r="O61" s="39">
        <v>100</v>
      </c>
      <c r="P61" s="28">
        <f>3000/O61</f>
        <v>30</v>
      </c>
      <c r="Q61" s="30" t="s">
        <v>57</v>
      </c>
      <c r="R61" s="29">
        <f t="shared" ref="R61" si="3">O61*P61</f>
        <v>3000</v>
      </c>
      <c r="S61" s="29">
        <f t="shared" si="0"/>
        <v>3000</v>
      </c>
    </row>
    <row r="62" spans="1:19" s="16" customFormat="1" ht="90" customHeight="1" x14ac:dyDescent="0.35">
      <c r="A62" s="32" t="s">
        <v>18</v>
      </c>
      <c r="B62" s="33" t="s">
        <v>23</v>
      </c>
      <c r="C62" s="33" t="s">
        <v>24</v>
      </c>
      <c r="D62" s="34" t="s">
        <v>19</v>
      </c>
      <c r="E62" s="31" t="s">
        <v>20</v>
      </c>
      <c r="F62" s="35">
        <v>1</v>
      </c>
      <c r="G62" s="36" t="s">
        <v>21</v>
      </c>
      <c r="H62" s="36" t="s">
        <v>43</v>
      </c>
      <c r="I62" s="37" t="s">
        <v>50</v>
      </c>
      <c r="J62" s="38" t="s">
        <v>38</v>
      </c>
      <c r="K62" s="30" t="s">
        <v>26</v>
      </c>
      <c r="L62" s="30" t="s">
        <v>58</v>
      </c>
      <c r="M62" s="30" t="s">
        <v>59</v>
      </c>
      <c r="N62" s="30" t="s">
        <v>31</v>
      </c>
      <c r="O62" s="39">
        <v>1</v>
      </c>
      <c r="P62" s="28">
        <f>8080/O62</f>
        <v>8080</v>
      </c>
      <c r="Q62" s="30" t="s">
        <v>57</v>
      </c>
      <c r="R62" s="29">
        <f t="shared" ref="R62:R63" si="4">O62*P62</f>
        <v>8080</v>
      </c>
      <c r="S62" s="29">
        <f t="shared" si="0"/>
        <v>8080</v>
      </c>
    </row>
    <row r="63" spans="1:19" s="16" customFormat="1" ht="78" customHeight="1" x14ac:dyDescent="0.35">
      <c r="A63" s="32" t="s">
        <v>18</v>
      </c>
      <c r="B63" s="33" t="s">
        <v>23</v>
      </c>
      <c r="C63" s="33" t="s">
        <v>24</v>
      </c>
      <c r="D63" s="34" t="s">
        <v>19</v>
      </c>
      <c r="E63" s="31" t="s">
        <v>20</v>
      </c>
      <c r="F63" s="35">
        <v>1</v>
      </c>
      <c r="G63" s="36" t="s">
        <v>21</v>
      </c>
      <c r="H63" s="36">
        <v>26102</v>
      </c>
      <c r="I63" s="37" t="s">
        <v>51</v>
      </c>
      <c r="J63" s="38" t="s">
        <v>28</v>
      </c>
      <c r="K63" s="30" t="s">
        <v>39</v>
      </c>
      <c r="L63" s="30" t="s">
        <v>58</v>
      </c>
      <c r="M63" s="30" t="s">
        <v>59</v>
      </c>
      <c r="N63" s="30" t="s">
        <v>31</v>
      </c>
      <c r="O63" s="39">
        <v>1</v>
      </c>
      <c r="P63" s="28">
        <f>3820/O63</f>
        <v>3820</v>
      </c>
      <c r="Q63" s="30" t="s">
        <v>57</v>
      </c>
      <c r="R63" s="29">
        <f t="shared" si="4"/>
        <v>3820</v>
      </c>
      <c r="S63" s="29">
        <f t="shared" si="0"/>
        <v>3820</v>
      </c>
    </row>
    <row r="64" spans="1:19" s="16" customFormat="1" ht="65" x14ac:dyDescent="0.35">
      <c r="A64" s="32" t="s">
        <v>18</v>
      </c>
      <c r="B64" s="33" t="s">
        <v>23</v>
      </c>
      <c r="C64" s="33" t="s">
        <v>24</v>
      </c>
      <c r="D64" s="34" t="s">
        <v>19</v>
      </c>
      <c r="E64" s="31" t="s">
        <v>20</v>
      </c>
      <c r="F64" s="35">
        <v>1</v>
      </c>
      <c r="G64" s="36" t="s">
        <v>21</v>
      </c>
      <c r="H64" s="36" t="s">
        <v>52</v>
      </c>
      <c r="I64" s="37" t="s">
        <v>29</v>
      </c>
      <c r="J64" s="38"/>
      <c r="K64" s="30" t="s">
        <v>172</v>
      </c>
      <c r="L64" s="30" t="s">
        <v>58</v>
      </c>
      <c r="M64" s="30" t="s">
        <v>59</v>
      </c>
      <c r="N64" s="30" t="s">
        <v>30</v>
      </c>
      <c r="O64" s="39">
        <v>1</v>
      </c>
      <c r="P64" s="28">
        <f>96.63/O64</f>
        <v>96.63</v>
      </c>
      <c r="Q64" s="30" t="s">
        <v>57</v>
      </c>
      <c r="R64" s="29">
        <f t="shared" ref="R64" si="5">O64*P64</f>
        <v>96.63</v>
      </c>
      <c r="S64" s="29">
        <f t="shared" si="0"/>
        <v>96.63</v>
      </c>
    </row>
    <row r="65" spans="1:19" s="16" customFormat="1" ht="65" x14ac:dyDescent="0.35">
      <c r="A65" s="32" t="s">
        <v>18</v>
      </c>
      <c r="B65" s="33" t="s">
        <v>23</v>
      </c>
      <c r="C65" s="33" t="s">
        <v>24</v>
      </c>
      <c r="D65" s="34" t="s">
        <v>19</v>
      </c>
      <c r="E65" s="31" t="s">
        <v>20</v>
      </c>
      <c r="F65" s="35">
        <v>1</v>
      </c>
      <c r="G65" s="36" t="s">
        <v>21</v>
      </c>
      <c r="H65" s="36">
        <v>29401</v>
      </c>
      <c r="I65" s="37" t="s">
        <v>66</v>
      </c>
      <c r="J65" s="38" t="s">
        <v>168</v>
      </c>
      <c r="K65" s="30" t="s">
        <v>170</v>
      </c>
      <c r="L65" s="30" t="s">
        <v>37</v>
      </c>
      <c r="M65" s="30" t="s">
        <v>37</v>
      </c>
      <c r="N65" s="30" t="s">
        <v>44</v>
      </c>
      <c r="O65" s="39">
        <v>15</v>
      </c>
      <c r="P65" s="28">
        <f>1167/O65</f>
        <v>77.8</v>
      </c>
      <c r="Q65" s="30" t="s">
        <v>57</v>
      </c>
      <c r="R65" s="29">
        <f t="shared" ref="R65:R67" si="6">P65*O65</f>
        <v>1167</v>
      </c>
      <c r="S65" s="29">
        <f t="shared" si="0"/>
        <v>1167</v>
      </c>
    </row>
    <row r="66" spans="1:19" s="16" customFormat="1" ht="65" x14ac:dyDescent="0.35">
      <c r="A66" s="32" t="s">
        <v>18</v>
      </c>
      <c r="B66" s="33" t="s">
        <v>23</v>
      </c>
      <c r="C66" s="33" t="s">
        <v>24</v>
      </c>
      <c r="D66" s="34" t="s">
        <v>19</v>
      </c>
      <c r="E66" s="31" t="s">
        <v>20</v>
      </c>
      <c r="F66" s="35">
        <v>1</v>
      </c>
      <c r="G66" s="36" t="s">
        <v>21</v>
      </c>
      <c r="H66" s="36">
        <v>29401</v>
      </c>
      <c r="I66" s="37" t="s">
        <v>66</v>
      </c>
      <c r="J66" s="38" t="s">
        <v>169</v>
      </c>
      <c r="K66" s="30" t="s">
        <v>171</v>
      </c>
      <c r="L66" s="30" t="s">
        <v>37</v>
      </c>
      <c r="M66" s="30" t="s">
        <v>37</v>
      </c>
      <c r="N66" s="30" t="s">
        <v>44</v>
      </c>
      <c r="O66" s="39">
        <v>6</v>
      </c>
      <c r="P66" s="28">
        <f>1128/O66</f>
        <v>188</v>
      </c>
      <c r="Q66" s="30" t="s">
        <v>57</v>
      </c>
      <c r="R66" s="29">
        <f t="shared" si="6"/>
        <v>1128</v>
      </c>
      <c r="S66" s="29">
        <f t="shared" si="0"/>
        <v>1128</v>
      </c>
    </row>
    <row r="67" spans="1:19" s="16" customFormat="1" ht="65" x14ac:dyDescent="0.35">
      <c r="A67" s="32" t="s">
        <v>18</v>
      </c>
      <c r="B67" s="33" t="s">
        <v>23</v>
      </c>
      <c r="C67" s="33" t="s">
        <v>24</v>
      </c>
      <c r="D67" s="34" t="s">
        <v>19</v>
      </c>
      <c r="E67" s="31" t="s">
        <v>20</v>
      </c>
      <c r="F67" s="35">
        <v>1</v>
      </c>
      <c r="G67" s="36" t="s">
        <v>21</v>
      </c>
      <c r="H67" s="36">
        <v>29401</v>
      </c>
      <c r="I67" s="37" t="s">
        <v>66</v>
      </c>
      <c r="J67" s="38" t="s">
        <v>169</v>
      </c>
      <c r="K67" s="30" t="s">
        <v>171</v>
      </c>
      <c r="L67" s="30" t="s">
        <v>37</v>
      </c>
      <c r="M67" s="30" t="s">
        <v>37</v>
      </c>
      <c r="N67" s="30" t="s">
        <v>44</v>
      </c>
      <c r="O67" s="39">
        <v>1</v>
      </c>
      <c r="P67" s="28">
        <f>406/O67</f>
        <v>406</v>
      </c>
      <c r="Q67" s="30" t="s">
        <v>57</v>
      </c>
      <c r="R67" s="29">
        <f t="shared" si="6"/>
        <v>406</v>
      </c>
      <c r="S67" s="29">
        <f t="shared" si="0"/>
        <v>406</v>
      </c>
    </row>
    <row r="68" spans="1:19" s="16" customFormat="1" ht="39" x14ac:dyDescent="0.35">
      <c r="A68" s="32" t="s">
        <v>18</v>
      </c>
      <c r="B68" s="33" t="s">
        <v>23</v>
      </c>
      <c r="C68" s="33" t="s">
        <v>24</v>
      </c>
      <c r="D68" s="34" t="s">
        <v>19</v>
      </c>
      <c r="E68" s="31" t="s">
        <v>20</v>
      </c>
      <c r="F68" s="35">
        <v>1</v>
      </c>
      <c r="G68" s="36" t="s">
        <v>22</v>
      </c>
      <c r="H68" s="36">
        <v>31301</v>
      </c>
      <c r="I68" s="37"/>
      <c r="J68" s="38"/>
      <c r="K68" s="30" t="s">
        <v>179</v>
      </c>
      <c r="L68" s="30" t="s">
        <v>37</v>
      </c>
      <c r="M68" s="30" t="s">
        <v>37</v>
      </c>
      <c r="N68" s="30" t="s">
        <v>59</v>
      </c>
      <c r="O68" s="39">
        <v>1</v>
      </c>
      <c r="P68" s="28">
        <v>3070</v>
      </c>
      <c r="Q68" s="30" t="s">
        <v>57</v>
      </c>
      <c r="R68" s="29">
        <f>P68*O68</f>
        <v>3070</v>
      </c>
      <c r="S68" s="29">
        <f>R68</f>
        <v>3070</v>
      </c>
    </row>
    <row r="69" spans="1:19" s="16" customFormat="1" ht="44.25" customHeight="1" x14ac:dyDescent="0.35">
      <c r="A69" s="32" t="s">
        <v>18</v>
      </c>
      <c r="B69" s="33" t="s">
        <v>23</v>
      </c>
      <c r="C69" s="33" t="s">
        <v>24</v>
      </c>
      <c r="D69" s="34" t="s">
        <v>19</v>
      </c>
      <c r="E69" s="31" t="s">
        <v>20</v>
      </c>
      <c r="F69" s="35">
        <v>1</v>
      </c>
      <c r="G69" s="36" t="s">
        <v>22</v>
      </c>
      <c r="H69" s="36">
        <v>31401</v>
      </c>
      <c r="I69" s="37" t="s">
        <v>47</v>
      </c>
      <c r="J69" s="38"/>
      <c r="K69" s="30" t="s">
        <v>178</v>
      </c>
      <c r="L69" s="30" t="s">
        <v>62</v>
      </c>
      <c r="M69" s="30" t="s">
        <v>59</v>
      </c>
      <c r="N69" s="30" t="s">
        <v>31</v>
      </c>
      <c r="O69" s="39">
        <v>1</v>
      </c>
      <c r="P69" s="28">
        <v>4379.1000000000004</v>
      </c>
      <c r="Q69" s="30" t="s">
        <v>57</v>
      </c>
      <c r="R69" s="29">
        <f t="shared" ref="R69:R74" si="7">P69*O69</f>
        <v>4379.1000000000004</v>
      </c>
      <c r="S69" s="29">
        <f t="shared" si="0"/>
        <v>4379.1000000000004</v>
      </c>
    </row>
    <row r="70" spans="1:19" s="16" customFormat="1" ht="44.25" customHeight="1" x14ac:dyDescent="0.35">
      <c r="A70" s="32" t="s">
        <v>18</v>
      </c>
      <c r="B70" s="33" t="s">
        <v>23</v>
      </c>
      <c r="C70" s="33" t="s">
        <v>67</v>
      </c>
      <c r="D70" s="34" t="s">
        <v>19</v>
      </c>
      <c r="E70" s="31" t="s">
        <v>20</v>
      </c>
      <c r="F70" s="35">
        <v>1</v>
      </c>
      <c r="G70" s="36" t="s">
        <v>21</v>
      </c>
      <c r="H70" s="36">
        <v>31401</v>
      </c>
      <c r="I70" s="37" t="s">
        <v>47</v>
      </c>
      <c r="J70" s="38"/>
      <c r="K70" s="30" t="s">
        <v>173</v>
      </c>
      <c r="L70" s="30" t="s">
        <v>62</v>
      </c>
      <c r="M70" s="30" t="s">
        <v>59</v>
      </c>
      <c r="N70" s="30" t="s">
        <v>31</v>
      </c>
      <c r="O70" s="39">
        <v>1</v>
      </c>
      <c r="P70" s="28">
        <v>3101.62</v>
      </c>
      <c r="Q70" s="30" t="s">
        <v>57</v>
      </c>
      <c r="R70" s="29">
        <f t="shared" si="7"/>
        <v>3101.62</v>
      </c>
      <c r="S70" s="29">
        <f t="shared" si="0"/>
        <v>3101.62</v>
      </c>
    </row>
    <row r="71" spans="1:19" s="16" customFormat="1" ht="44.25" customHeight="1" x14ac:dyDescent="0.35">
      <c r="A71" s="32" t="s">
        <v>18</v>
      </c>
      <c r="B71" s="33" t="s">
        <v>23</v>
      </c>
      <c r="C71" s="33" t="s">
        <v>68</v>
      </c>
      <c r="D71" s="34" t="s">
        <v>19</v>
      </c>
      <c r="E71" s="31" t="s">
        <v>42</v>
      </c>
      <c r="F71" s="35">
        <v>88</v>
      </c>
      <c r="G71" s="36" t="s">
        <v>48</v>
      </c>
      <c r="H71" s="36">
        <v>31401</v>
      </c>
      <c r="I71" s="37" t="s">
        <v>47</v>
      </c>
      <c r="J71" s="38"/>
      <c r="K71" s="30" t="s">
        <v>174</v>
      </c>
      <c r="L71" s="30" t="s">
        <v>62</v>
      </c>
      <c r="M71" s="30" t="s">
        <v>59</v>
      </c>
      <c r="N71" s="30" t="s">
        <v>31</v>
      </c>
      <c r="O71" s="39">
        <v>1</v>
      </c>
      <c r="P71" s="28">
        <v>2265.46</v>
      </c>
      <c r="Q71" s="30" t="s">
        <v>57</v>
      </c>
      <c r="R71" s="29">
        <f t="shared" si="7"/>
        <v>2265.46</v>
      </c>
      <c r="S71" s="29">
        <f t="shared" si="0"/>
        <v>2265.46</v>
      </c>
    </row>
    <row r="72" spans="1:19" s="16" customFormat="1" ht="44.25" customHeight="1" x14ac:dyDescent="0.35">
      <c r="A72" s="32" t="s">
        <v>18</v>
      </c>
      <c r="B72" s="33" t="s">
        <v>23</v>
      </c>
      <c r="C72" s="33" t="s">
        <v>69</v>
      </c>
      <c r="D72" s="34" t="s">
        <v>19</v>
      </c>
      <c r="E72" s="31" t="s">
        <v>20</v>
      </c>
      <c r="F72" s="35">
        <v>1</v>
      </c>
      <c r="G72" s="36" t="s">
        <v>22</v>
      </c>
      <c r="H72" s="36">
        <v>31401</v>
      </c>
      <c r="I72" s="37" t="s">
        <v>47</v>
      </c>
      <c r="J72" s="38"/>
      <c r="K72" s="30" t="s">
        <v>175</v>
      </c>
      <c r="L72" s="30" t="s">
        <v>62</v>
      </c>
      <c r="M72" s="30" t="s">
        <v>59</v>
      </c>
      <c r="N72" s="30" t="s">
        <v>31</v>
      </c>
      <c r="O72" s="39">
        <v>1</v>
      </c>
      <c r="P72" s="28">
        <v>1965.63</v>
      </c>
      <c r="Q72" s="30" t="s">
        <v>57</v>
      </c>
      <c r="R72" s="29">
        <f t="shared" si="7"/>
        <v>1965.63</v>
      </c>
      <c r="S72" s="29">
        <f t="shared" ref="S72:S74" si="8">R72</f>
        <v>1965.63</v>
      </c>
    </row>
    <row r="73" spans="1:19" s="16" customFormat="1" ht="44.25" customHeight="1" x14ac:dyDescent="0.35">
      <c r="A73" s="32" t="s">
        <v>18</v>
      </c>
      <c r="B73" s="33" t="s">
        <v>23</v>
      </c>
      <c r="C73" s="33" t="s">
        <v>70</v>
      </c>
      <c r="D73" s="34" t="s">
        <v>19</v>
      </c>
      <c r="E73" s="31" t="s">
        <v>20</v>
      </c>
      <c r="F73" s="35">
        <v>1</v>
      </c>
      <c r="G73" s="36" t="s">
        <v>21</v>
      </c>
      <c r="H73" s="36">
        <v>31401</v>
      </c>
      <c r="I73" s="37" t="s">
        <v>47</v>
      </c>
      <c r="J73" s="38"/>
      <c r="K73" s="30" t="s">
        <v>176</v>
      </c>
      <c r="L73" s="30" t="s">
        <v>62</v>
      </c>
      <c r="M73" s="30" t="s">
        <v>59</v>
      </c>
      <c r="N73" s="30" t="s">
        <v>31</v>
      </c>
      <c r="O73" s="39">
        <v>1</v>
      </c>
      <c r="P73" s="28">
        <v>1778.72</v>
      </c>
      <c r="Q73" s="30" t="s">
        <v>57</v>
      </c>
      <c r="R73" s="29">
        <f t="shared" si="7"/>
        <v>1778.72</v>
      </c>
      <c r="S73" s="29">
        <f t="shared" si="8"/>
        <v>1778.72</v>
      </c>
    </row>
    <row r="74" spans="1:19" s="16" customFormat="1" ht="44.25" customHeight="1" x14ac:dyDescent="0.35">
      <c r="A74" s="32" t="s">
        <v>18</v>
      </c>
      <c r="B74" s="33" t="s">
        <v>23</v>
      </c>
      <c r="C74" s="33" t="s">
        <v>71</v>
      </c>
      <c r="D74" s="34" t="s">
        <v>19</v>
      </c>
      <c r="E74" s="31" t="s">
        <v>20</v>
      </c>
      <c r="F74" s="35">
        <v>1</v>
      </c>
      <c r="G74" s="36" t="s">
        <v>21</v>
      </c>
      <c r="H74" s="36">
        <v>31401</v>
      </c>
      <c r="I74" s="37" t="s">
        <v>47</v>
      </c>
      <c r="J74" s="38"/>
      <c r="K74" s="30" t="s">
        <v>177</v>
      </c>
      <c r="L74" s="30" t="s">
        <v>62</v>
      </c>
      <c r="M74" s="30" t="s">
        <v>59</v>
      </c>
      <c r="N74" s="30" t="s">
        <v>31</v>
      </c>
      <c r="O74" s="39">
        <v>1</v>
      </c>
      <c r="P74" s="28">
        <v>1344.41</v>
      </c>
      <c r="Q74" s="30" t="s">
        <v>57</v>
      </c>
      <c r="R74" s="29">
        <f t="shared" si="7"/>
        <v>1344.41</v>
      </c>
      <c r="S74" s="29">
        <f t="shared" si="8"/>
        <v>1344.41</v>
      </c>
    </row>
    <row r="75" spans="1:19" s="16" customFormat="1" ht="44.25" customHeight="1" x14ac:dyDescent="0.35">
      <c r="A75" s="32" t="s">
        <v>18</v>
      </c>
      <c r="B75" s="33" t="s">
        <v>23</v>
      </c>
      <c r="C75" s="33" t="s">
        <v>24</v>
      </c>
      <c r="D75" s="34" t="s">
        <v>19</v>
      </c>
      <c r="E75" s="31" t="s">
        <v>20</v>
      </c>
      <c r="F75" s="35">
        <v>1</v>
      </c>
      <c r="G75" s="36" t="s">
        <v>21</v>
      </c>
      <c r="H75" s="36" t="s">
        <v>53</v>
      </c>
      <c r="I75" s="37" t="s">
        <v>40</v>
      </c>
      <c r="J75" s="38"/>
      <c r="K75" s="30" t="s">
        <v>183</v>
      </c>
      <c r="L75" s="30" t="s">
        <v>63</v>
      </c>
      <c r="M75" s="30" t="s">
        <v>59</v>
      </c>
      <c r="N75" s="30" t="s">
        <v>59</v>
      </c>
      <c r="O75" s="39">
        <v>1</v>
      </c>
      <c r="P75" s="28">
        <v>7456</v>
      </c>
      <c r="Q75" s="30" t="s">
        <v>64</v>
      </c>
      <c r="R75" s="29">
        <f>P75*O75</f>
        <v>7456</v>
      </c>
      <c r="S75" s="29">
        <f t="shared" ref="S75:S127" si="9">R75</f>
        <v>7456</v>
      </c>
    </row>
    <row r="76" spans="1:19" s="16" customFormat="1" ht="44.25" customHeight="1" x14ac:dyDescent="0.35">
      <c r="A76" s="32" t="s">
        <v>18</v>
      </c>
      <c r="B76" s="33" t="s">
        <v>23</v>
      </c>
      <c r="C76" s="33" t="s">
        <v>24</v>
      </c>
      <c r="D76" s="34" t="s">
        <v>19</v>
      </c>
      <c r="E76" s="31" t="s">
        <v>185</v>
      </c>
      <c r="F76" s="35">
        <v>1</v>
      </c>
      <c r="G76" s="36" t="s">
        <v>186</v>
      </c>
      <c r="H76" s="36" t="s">
        <v>53</v>
      </c>
      <c r="I76" s="37" t="s">
        <v>40</v>
      </c>
      <c r="J76" s="38"/>
      <c r="K76" s="30" t="s">
        <v>184</v>
      </c>
      <c r="L76" s="30" t="s">
        <v>63</v>
      </c>
      <c r="M76" s="30" t="s">
        <v>59</v>
      </c>
      <c r="N76" s="30" t="s">
        <v>59</v>
      </c>
      <c r="O76" s="39">
        <v>1</v>
      </c>
      <c r="P76" s="28">
        <v>463.58</v>
      </c>
      <c r="Q76" s="30" t="s">
        <v>64</v>
      </c>
      <c r="R76" s="29">
        <f>P76*O76</f>
        <v>463.58</v>
      </c>
      <c r="S76" s="29">
        <f t="shared" si="9"/>
        <v>463.58</v>
      </c>
    </row>
    <row r="77" spans="1:19" s="16" customFormat="1" ht="51.5" customHeight="1" x14ac:dyDescent="0.35">
      <c r="A77" s="32" t="s">
        <v>18</v>
      </c>
      <c r="B77" s="33" t="s">
        <v>23</v>
      </c>
      <c r="C77" s="33" t="s">
        <v>24</v>
      </c>
      <c r="D77" s="34" t="s">
        <v>19</v>
      </c>
      <c r="E77" s="31" t="s">
        <v>20</v>
      </c>
      <c r="F77" s="35">
        <v>1</v>
      </c>
      <c r="G77" s="36" t="s">
        <v>22</v>
      </c>
      <c r="H77" s="36" t="s">
        <v>55</v>
      </c>
      <c r="I77" s="37" t="s">
        <v>56</v>
      </c>
      <c r="J77" s="38"/>
      <c r="K77" s="30" t="s">
        <v>182</v>
      </c>
      <c r="L77" s="30" t="s">
        <v>61</v>
      </c>
      <c r="M77" s="30" t="s">
        <v>59</v>
      </c>
      <c r="N77" s="30" t="s">
        <v>59</v>
      </c>
      <c r="O77" s="39">
        <v>1</v>
      </c>
      <c r="P77" s="28">
        <f>R77</f>
        <v>33129.599999999999</v>
      </c>
      <c r="Q77" s="30" t="s">
        <v>64</v>
      </c>
      <c r="R77" s="29">
        <f>28560*1.16</f>
        <v>33129.599999999999</v>
      </c>
      <c r="S77" s="29">
        <f t="shared" si="9"/>
        <v>33129.599999999999</v>
      </c>
    </row>
    <row r="78" spans="1:19" s="16" customFormat="1" ht="65" x14ac:dyDescent="0.35">
      <c r="A78" s="32" t="s">
        <v>18</v>
      </c>
      <c r="B78" s="33" t="s">
        <v>23</v>
      </c>
      <c r="C78" s="33" t="s">
        <v>24</v>
      </c>
      <c r="D78" s="34" t="s">
        <v>19</v>
      </c>
      <c r="E78" s="31" t="s">
        <v>20</v>
      </c>
      <c r="F78" s="35">
        <v>1</v>
      </c>
      <c r="G78" s="36" t="s">
        <v>21</v>
      </c>
      <c r="H78" s="36" t="s">
        <v>49</v>
      </c>
      <c r="I78" s="37" t="s">
        <v>46</v>
      </c>
      <c r="J78" s="38"/>
      <c r="K78" s="30" t="s">
        <v>181</v>
      </c>
      <c r="L78" s="30" t="s">
        <v>37</v>
      </c>
      <c r="M78" s="30" t="s">
        <v>59</v>
      </c>
      <c r="N78" s="30" t="s">
        <v>59</v>
      </c>
      <c r="O78" s="39">
        <v>1</v>
      </c>
      <c r="P78" s="28">
        <v>1566</v>
      </c>
      <c r="Q78" s="30" t="s">
        <v>57</v>
      </c>
      <c r="R78" s="29">
        <f>O78*P78</f>
        <v>1566</v>
      </c>
      <c r="S78" s="29">
        <f t="shared" si="9"/>
        <v>1566</v>
      </c>
    </row>
    <row r="79" spans="1:19" s="16" customFormat="1" ht="52" x14ac:dyDescent="0.35">
      <c r="A79" s="32" t="s">
        <v>18</v>
      </c>
      <c r="B79" s="33" t="s">
        <v>23</v>
      </c>
      <c r="C79" s="33" t="s">
        <v>24</v>
      </c>
      <c r="D79" s="34" t="s">
        <v>19</v>
      </c>
      <c r="E79" s="31" t="s">
        <v>20</v>
      </c>
      <c r="F79" s="35">
        <v>1</v>
      </c>
      <c r="G79" s="36" t="s">
        <v>21</v>
      </c>
      <c r="H79" s="36">
        <v>35701</v>
      </c>
      <c r="I79" s="37"/>
      <c r="J79" s="38"/>
      <c r="K79" s="30" t="s">
        <v>187</v>
      </c>
      <c r="L79" s="30" t="s">
        <v>37</v>
      </c>
      <c r="M79" s="30" t="s">
        <v>59</v>
      </c>
      <c r="N79" s="30" t="s">
        <v>59</v>
      </c>
      <c r="O79" s="39">
        <v>1</v>
      </c>
      <c r="P79" s="28">
        <v>4640</v>
      </c>
      <c r="Q79" s="30" t="s">
        <v>57</v>
      </c>
      <c r="R79" s="29">
        <f t="shared" ref="R79:R80" si="10">O79*P79</f>
        <v>4640</v>
      </c>
      <c r="S79" s="29">
        <f t="shared" si="9"/>
        <v>4640</v>
      </c>
    </row>
    <row r="80" spans="1:19" s="16" customFormat="1" ht="52" x14ac:dyDescent="0.35">
      <c r="A80" s="32" t="s">
        <v>18</v>
      </c>
      <c r="B80" s="33" t="s">
        <v>23</v>
      </c>
      <c r="C80" s="33" t="s">
        <v>24</v>
      </c>
      <c r="D80" s="34" t="s">
        <v>19</v>
      </c>
      <c r="E80" s="31" t="s">
        <v>20</v>
      </c>
      <c r="F80" s="35">
        <v>1</v>
      </c>
      <c r="G80" s="36" t="s">
        <v>21</v>
      </c>
      <c r="H80" s="36">
        <v>35701</v>
      </c>
      <c r="I80" s="37"/>
      <c r="J80" s="38"/>
      <c r="K80" s="30" t="s">
        <v>188</v>
      </c>
      <c r="L80" s="30" t="s">
        <v>37</v>
      </c>
      <c r="M80" s="30" t="s">
        <v>59</v>
      </c>
      <c r="N80" s="30" t="s">
        <v>59</v>
      </c>
      <c r="O80" s="39">
        <v>1</v>
      </c>
      <c r="P80" s="28">
        <v>5800</v>
      </c>
      <c r="Q80" s="30" t="s">
        <v>57</v>
      </c>
      <c r="R80" s="29">
        <f t="shared" si="10"/>
        <v>5800</v>
      </c>
      <c r="S80" s="29">
        <f t="shared" si="9"/>
        <v>5800</v>
      </c>
    </row>
    <row r="81" spans="1:19" s="16" customFormat="1" ht="44.25" customHeight="1" x14ac:dyDescent="0.35">
      <c r="A81" s="32" t="s">
        <v>18</v>
      </c>
      <c r="B81" s="33" t="s">
        <v>23</v>
      </c>
      <c r="C81" s="33" t="s">
        <v>24</v>
      </c>
      <c r="D81" s="34" t="s">
        <v>19</v>
      </c>
      <c r="E81" s="31" t="s">
        <v>20</v>
      </c>
      <c r="F81" s="35">
        <v>1</v>
      </c>
      <c r="G81" s="36" t="s">
        <v>22</v>
      </c>
      <c r="H81" s="36" t="s">
        <v>54</v>
      </c>
      <c r="I81" s="37" t="s">
        <v>41</v>
      </c>
      <c r="J81" s="38"/>
      <c r="K81" s="30" t="s">
        <v>180</v>
      </c>
      <c r="L81" s="30" t="s">
        <v>60</v>
      </c>
      <c r="M81" s="30" t="s">
        <v>59</v>
      </c>
      <c r="N81" s="30" t="s">
        <v>59</v>
      </c>
      <c r="O81" s="39">
        <v>1</v>
      </c>
      <c r="P81" s="28">
        <v>35021</v>
      </c>
      <c r="Q81" s="30" t="s">
        <v>64</v>
      </c>
      <c r="R81" s="29">
        <f t="shared" ref="R81:R143" si="11">P81*O81</f>
        <v>35021</v>
      </c>
      <c r="S81" s="29">
        <f t="shared" si="9"/>
        <v>35021</v>
      </c>
    </row>
    <row r="82" spans="1:19" s="16" customFormat="1" ht="44.25" customHeight="1" x14ac:dyDescent="0.35">
      <c r="A82" s="32" t="s">
        <v>18</v>
      </c>
      <c r="B82" s="33" t="s">
        <v>23</v>
      </c>
      <c r="C82" s="33" t="s">
        <v>24</v>
      </c>
      <c r="D82" s="34" t="s">
        <v>19</v>
      </c>
      <c r="E82" s="31" t="s">
        <v>20</v>
      </c>
      <c r="F82" s="35">
        <v>1</v>
      </c>
      <c r="G82" s="36" t="s">
        <v>22</v>
      </c>
      <c r="H82" s="36" t="s">
        <v>54</v>
      </c>
      <c r="I82" s="37" t="s">
        <v>41</v>
      </c>
      <c r="J82" s="38"/>
      <c r="K82" s="30" t="s">
        <v>180</v>
      </c>
      <c r="L82" s="30" t="s">
        <v>60</v>
      </c>
      <c r="M82" s="30" t="s">
        <v>59</v>
      </c>
      <c r="N82" s="30" t="s">
        <v>59</v>
      </c>
      <c r="O82" s="39">
        <v>1</v>
      </c>
      <c r="P82" s="28">
        <v>6913</v>
      </c>
      <c r="Q82" s="30" t="s">
        <v>64</v>
      </c>
      <c r="R82" s="29">
        <f t="shared" si="11"/>
        <v>6913</v>
      </c>
      <c r="S82" s="29">
        <f t="shared" si="9"/>
        <v>6913</v>
      </c>
    </row>
    <row r="83" spans="1:19" ht="26" x14ac:dyDescent="0.35">
      <c r="A83" s="32" t="s">
        <v>18</v>
      </c>
      <c r="B83" s="33" t="s">
        <v>479</v>
      </c>
      <c r="C83" s="33" t="s">
        <v>67</v>
      </c>
      <c r="D83" s="34" t="s">
        <v>19</v>
      </c>
      <c r="E83" s="31" t="s">
        <v>185</v>
      </c>
      <c r="F83" s="35" t="s">
        <v>189</v>
      </c>
      <c r="G83" s="36" t="s">
        <v>22</v>
      </c>
      <c r="H83" s="36">
        <v>31602</v>
      </c>
      <c r="I83" s="37" t="s">
        <v>190</v>
      </c>
      <c r="J83" s="38" t="s">
        <v>191</v>
      </c>
      <c r="K83" s="30" t="s">
        <v>192</v>
      </c>
      <c r="L83" s="30" t="s">
        <v>193</v>
      </c>
      <c r="M83" s="30" t="s">
        <v>193</v>
      </c>
      <c r="N83" s="30" t="s">
        <v>194</v>
      </c>
      <c r="O83" s="39">
        <v>1</v>
      </c>
      <c r="P83" s="40">
        <v>562</v>
      </c>
      <c r="Q83" s="41" t="s">
        <v>195</v>
      </c>
      <c r="R83" s="42">
        <f t="shared" si="11"/>
        <v>562</v>
      </c>
      <c r="S83" s="43">
        <f t="shared" si="9"/>
        <v>562</v>
      </c>
    </row>
    <row r="84" spans="1:19" ht="52" x14ac:dyDescent="0.35">
      <c r="A84" s="32" t="s">
        <v>18</v>
      </c>
      <c r="B84" s="33" t="s">
        <v>479</v>
      </c>
      <c r="C84" s="33" t="s">
        <v>67</v>
      </c>
      <c r="D84" s="34" t="s">
        <v>19</v>
      </c>
      <c r="E84" s="31" t="s">
        <v>20</v>
      </c>
      <c r="F84" s="35" t="s">
        <v>19</v>
      </c>
      <c r="G84" s="36" t="s">
        <v>21</v>
      </c>
      <c r="H84" s="36">
        <v>35501</v>
      </c>
      <c r="I84" s="37" t="s">
        <v>196</v>
      </c>
      <c r="J84" s="38" t="s">
        <v>191</v>
      </c>
      <c r="K84" s="30" t="s">
        <v>197</v>
      </c>
      <c r="L84" s="30" t="s">
        <v>193</v>
      </c>
      <c r="M84" s="30" t="s">
        <v>193</v>
      </c>
      <c r="N84" s="30" t="s">
        <v>194</v>
      </c>
      <c r="O84" s="39">
        <v>1</v>
      </c>
      <c r="P84" s="40">
        <v>3849.99</v>
      </c>
      <c r="Q84" s="41" t="s">
        <v>195</v>
      </c>
      <c r="R84" s="42">
        <f t="shared" si="11"/>
        <v>3849.99</v>
      </c>
      <c r="S84" s="43">
        <f t="shared" si="9"/>
        <v>3849.99</v>
      </c>
    </row>
    <row r="85" spans="1:19" ht="26" x14ac:dyDescent="0.35">
      <c r="A85" s="32" t="s">
        <v>18</v>
      </c>
      <c r="B85" s="33" t="s">
        <v>479</v>
      </c>
      <c r="C85" s="33" t="s">
        <v>67</v>
      </c>
      <c r="D85" s="34" t="s">
        <v>19</v>
      </c>
      <c r="E85" s="31" t="s">
        <v>20</v>
      </c>
      <c r="F85" s="35" t="s">
        <v>19</v>
      </c>
      <c r="G85" s="36" t="s">
        <v>22</v>
      </c>
      <c r="H85" s="36">
        <v>31301</v>
      </c>
      <c r="I85" s="37" t="s">
        <v>198</v>
      </c>
      <c r="J85" s="38" t="s">
        <v>191</v>
      </c>
      <c r="K85" s="30" t="s">
        <v>199</v>
      </c>
      <c r="L85" s="30" t="s">
        <v>193</v>
      </c>
      <c r="M85" s="30" t="s">
        <v>193</v>
      </c>
      <c r="N85" s="30" t="s">
        <v>200</v>
      </c>
      <c r="O85" s="39">
        <v>1</v>
      </c>
      <c r="P85" s="40">
        <v>603</v>
      </c>
      <c r="Q85" s="41" t="s">
        <v>195</v>
      </c>
      <c r="R85" s="42">
        <f t="shared" si="11"/>
        <v>603</v>
      </c>
      <c r="S85" s="43">
        <f t="shared" si="9"/>
        <v>603</v>
      </c>
    </row>
    <row r="86" spans="1:19" ht="26" x14ac:dyDescent="0.35">
      <c r="A86" s="32" t="s">
        <v>18</v>
      </c>
      <c r="B86" s="33" t="s">
        <v>479</v>
      </c>
      <c r="C86" s="33" t="s">
        <v>67</v>
      </c>
      <c r="D86" s="34" t="s">
        <v>19</v>
      </c>
      <c r="E86" s="31" t="s">
        <v>20</v>
      </c>
      <c r="F86" s="35" t="s">
        <v>19</v>
      </c>
      <c r="G86" s="36" t="s">
        <v>22</v>
      </c>
      <c r="H86" s="36">
        <v>31301</v>
      </c>
      <c r="I86" s="37" t="s">
        <v>198</v>
      </c>
      <c r="J86" s="38" t="s">
        <v>191</v>
      </c>
      <c r="K86" s="30" t="s">
        <v>201</v>
      </c>
      <c r="L86" s="30" t="s">
        <v>193</v>
      </c>
      <c r="M86" s="30" t="s">
        <v>193</v>
      </c>
      <c r="N86" s="30" t="s">
        <v>200</v>
      </c>
      <c r="O86" s="39">
        <v>1</v>
      </c>
      <c r="P86" s="40">
        <v>2791</v>
      </c>
      <c r="Q86" s="41" t="s">
        <v>195</v>
      </c>
      <c r="R86" s="42">
        <f t="shared" si="11"/>
        <v>2791</v>
      </c>
      <c r="S86" s="43">
        <f t="shared" si="9"/>
        <v>2791</v>
      </c>
    </row>
    <row r="87" spans="1:19" ht="26" x14ac:dyDescent="0.35">
      <c r="A87" s="32" t="s">
        <v>18</v>
      </c>
      <c r="B87" s="33" t="s">
        <v>479</v>
      </c>
      <c r="C87" s="33" t="s">
        <v>67</v>
      </c>
      <c r="D87" s="34" t="s">
        <v>19</v>
      </c>
      <c r="E87" s="31" t="s">
        <v>36</v>
      </c>
      <c r="F87" s="35" t="s">
        <v>202</v>
      </c>
      <c r="G87" s="36" t="s">
        <v>167</v>
      </c>
      <c r="H87" s="36">
        <v>21101</v>
      </c>
      <c r="I87" s="37" t="s">
        <v>203</v>
      </c>
      <c r="J87" s="38" t="s">
        <v>204</v>
      </c>
      <c r="K87" s="30" t="s">
        <v>205</v>
      </c>
      <c r="L87" s="30" t="s">
        <v>193</v>
      </c>
      <c r="M87" s="30" t="s">
        <v>193</v>
      </c>
      <c r="N87" s="30" t="s">
        <v>200</v>
      </c>
      <c r="O87" s="39">
        <v>2</v>
      </c>
      <c r="P87" s="40">
        <f>133.56/2</f>
        <v>66.78</v>
      </c>
      <c r="Q87" s="41" t="s">
        <v>195</v>
      </c>
      <c r="R87" s="42">
        <f t="shared" si="11"/>
        <v>133.56</v>
      </c>
      <c r="S87" s="43">
        <f t="shared" si="9"/>
        <v>133.56</v>
      </c>
    </row>
    <row r="88" spans="1:19" ht="26" x14ac:dyDescent="0.35">
      <c r="A88" s="32" t="s">
        <v>18</v>
      </c>
      <c r="B88" s="33" t="s">
        <v>479</v>
      </c>
      <c r="C88" s="33" t="s">
        <v>67</v>
      </c>
      <c r="D88" s="34" t="s">
        <v>19</v>
      </c>
      <c r="E88" s="31" t="s">
        <v>36</v>
      </c>
      <c r="F88" s="35" t="s">
        <v>202</v>
      </c>
      <c r="G88" s="36" t="s">
        <v>167</v>
      </c>
      <c r="H88" s="36">
        <v>21101</v>
      </c>
      <c r="I88" s="37" t="s">
        <v>203</v>
      </c>
      <c r="J88" s="38" t="s">
        <v>206</v>
      </c>
      <c r="K88" s="30" t="s">
        <v>207</v>
      </c>
      <c r="L88" s="30" t="s">
        <v>193</v>
      </c>
      <c r="M88" s="30" t="s">
        <v>193</v>
      </c>
      <c r="N88" s="30" t="s">
        <v>200</v>
      </c>
      <c r="O88" s="39">
        <v>4</v>
      </c>
      <c r="P88" s="40">
        <f>67.28/4</f>
        <v>16.82</v>
      </c>
      <c r="Q88" s="41" t="s">
        <v>195</v>
      </c>
      <c r="R88" s="42">
        <f t="shared" si="11"/>
        <v>67.28</v>
      </c>
      <c r="S88" s="43">
        <f t="shared" si="9"/>
        <v>67.28</v>
      </c>
    </row>
    <row r="89" spans="1:19" ht="26" x14ac:dyDescent="0.35">
      <c r="A89" s="32" t="s">
        <v>18</v>
      </c>
      <c r="B89" s="33" t="s">
        <v>479</v>
      </c>
      <c r="C89" s="33" t="s">
        <v>67</v>
      </c>
      <c r="D89" s="34" t="s">
        <v>19</v>
      </c>
      <c r="E89" s="31" t="s">
        <v>36</v>
      </c>
      <c r="F89" s="35" t="s">
        <v>202</v>
      </c>
      <c r="G89" s="36" t="s">
        <v>167</v>
      </c>
      <c r="H89" s="36">
        <v>21101</v>
      </c>
      <c r="I89" s="37" t="s">
        <v>203</v>
      </c>
      <c r="J89" s="38" t="s">
        <v>208</v>
      </c>
      <c r="K89" s="30" t="s">
        <v>209</v>
      </c>
      <c r="L89" s="30" t="s">
        <v>193</v>
      </c>
      <c r="M89" s="30" t="s">
        <v>193</v>
      </c>
      <c r="N89" s="30" t="s">
        <v>200</v>
      </c>
      <c r="O89" s="39">
        <v>2</v>
      </c>
      <c r="P89" s="40">
        <f>199.06/2</f>
        <v>99.53</v>
      </c>
      <c r="Q89" s="41" t="s">
        <v>195</v>
      </c>
      <c r="R89" s="42">
        <f t="shared" si="11"/>
        <v>199.06</v>
      </c>
      <c r="S89" s="43">
        <f t="shared" si="9"/>
        <v>199.06</v>
      </c>
    </row>
    <row r="90" spans="1:19" ht="26" x14ac:dyDescent="0.35">
      <c r="A90" s="32" t="s">
        <v>18</v>
      </c>
      <c r="B90" s="33" t="s">
        <v>479</v>
      </c>
      <c r="C90" s="33" t="s">
        <v>67</v>
      </c>
      <c r="D90" s="34" t="s">
        <v>19</v>
      </c>
      <c r="E90" s="31" t="s">
        <v>36</v>
      </c>
      <c r="F90" s="35" t="s">
        <v>202</v>
      </c>
      <c r="G90" s="36" t="s">
        <v>167</v>
      </c>
      <c r="H90" s="36">
        <v>21101</v>
      </c>
      <c r="I90" s="37" t="s">
        <v>203</v>
      </c>
      <c r="J90" s="38" t="s">
        <v>210</v>
      </c>
      <c r="K90" s="30" t="s">
        <v>211</v>
      </c>
      <c r="L90" s="30" t="s">
        <v>193</v>
      </c>
      <c r="M90" s="30" t="s">
        <v>193</v>
      </c>
      <c r="N90" s="30" t="s">
        <v>200</v>
      </c>
      <c r="O90" s="39">
        <v>1</v>
      </c>
      <c r="P90" s="40">
        <v>29.75</v>
      </c>
      <c r="Q90" s="41" t="s">
        <v>195</v>
      </c>
      <c r="R90" s="42">
        <f t="shared" si="11"/>
        <v>29.75</v>
      </c>
      <c r="S90" s="43">
        <f t="shared" si="9"/>
        <v>29.75</v>
      </c>
    </row>
    <row r="91" spans="1:19" ht="26" x14ac:dyDescent="0.35">
      <c r="A91" s="32" t="s">
        <v>18</v>
      </c>
      <c r="B91" s="33" t="s">
        <v>479</v>
      </c>
      <c r="C91" s="33" t="s">
        <v>67</v>
      </c>
      <c r="D91" s="34" t="s">
        <v>19</v>
      </c>
      <c r="E91" s="31" t="s">
        <v>36</v>
      </c>
      <c r="F91" s="35" t="s">
        <v>202</v>
      </c>
      <c r="G91" s="36" t="s">
        <v>167</v>
      </c>
      <c r="H91" s="36">
        <v>21101</v>
      </c>
      <c r="I91" s="37" t="s">
        <v>203</v>
      </c>
      <c r="J91" s="38" t="s">
        <v>210</v>
      </c>
      <c r="K91" s="30" t="s">
        <v>211</v>
      </c>
      <c r="L91" s="30" t="s">
        <v>193</v>
      </c>
      <c r="M91" s="30" t="s">
        <v>193</v>
      </c>
      <c r="N91" s="30" t="s">
        <v>200</v>
      </c>
      <c r="O91" s="39">
        <v>1</v>
      </c>
      <c r="P91" s="40">
        <v>29.76</v>
      </c>
      <c r="Q91" s="41" t="s">
        <v>195</v>
      </c>
      <c r="R91" s="42">
        <f t="shared" si="11"/>
        <v>29.76</v>
      </c>
      <c r="S91" s="43">
        <f t="shared" si="9"/>
        <v>29.76</v>
      </c>
    </row>
    <row r="92" spans="1:19" ht="26" x14ac:dyDescent="0.35">
      <c r="A92" s="32" t="s">
        <v>18</v>
      </c>
      <c r="B92" s="33" t="s">
        <v>479</v>
      </c>
      <c r="C92" s="33" t="s">
        <v>67</v>
      </c>
      <c r="D92" s="34" t="s">
        <v>19</v>
      </c>
      <c r="E92" s="31" t="s">
        <v>20</v>
      </c>
      <c r="F92" s="35" t="s">
        <v>19</v>
      </c>
      <c r="G92" s="36" t="s">
        <v>21</v>
      </c>
      <c r="H92" s="36">
        <v>24501</v>
      </c>
      <c r="I92" s="37" t="s">
        <v>212</v>
      </c>
      <c r="J92" s="38" t="s">
        <v>213</v>
      </c>
      <c r="K92" s="30" t="s">
        <v>214</v>
      </c>
      <c r="L92" s="30" t="s">
        <v>193</v>
      </c>
      <c r="M92" s="30" t="s">
        <v>193</v>
      </c>
      <c r="N92" s="30" t="s">
        <v>215</v>
      </c>
      <c r="O92" s="39">
        <v>1</v>
      </c>
      <c r="P92" s="40">
        <v>1224.96</v>
      </c>
      <c r="Q92" s="41" t="s">
        <v>195</v>
      </c>
      <c r="R92" s="42">
        <f>P92*O92</f>
        <v>1224.96</v>
      </c>
      <c r="S92" s="43">
        <f t="shared" si="9"/>
        <v>1224.96</v>
      </c>
    </row>
    <row r="93" spans="1:19" ht="52" x14ac:dyDescent="0.35">
      <c r="A93" s="32" t="s">
        <v>18</v>
      </c>
      <c r="B93" s="33" t="s">
        <v>479</v>
      </c>
      <c r="C93" s="33" t="s">
        <v>67</v>
      </c>
      <c r="D93" s="34" t="s">
        <v>19</v>
      </c>
      <c r="E93" s="31" t="s">
        <v>36</v>
      </c>
      <c r="F93" s="35" t="s">
        <v>202</v>
      </c>
      <c r="G93" s="36" t="s">
        <v>167</v>
      </c>
      <c r="H93" s="36">
        <v>22104</v>
      </c>
      <c r="I93" s="37" t="s">
        <v>216</v>
      </c>
      <c r="J93" s="38" t="s">
        <v>33</v>
      </c>
      <c r="K93" s="30" t="s">
        <v>34</v>
      </c>
      <c r="L93" s="30" t="s">
        <v>193</v>
      </c>
      <c r="M93" s="30" t="s">
        <v>193</v>
      </c>
      <c r="N93" s="30" t="s">
        <v>217</v>
      </c>
      <c r="O93" s="39">
        <v>1</v>
      </c>
      <c r="P93" s="40">
        <v>1840</v>
      </c>
      <c r="Q93" s="41" t="s">
        <v>195</v>
      </c>
      <c r="R93" s="42">
        <f t="shared" si="11"/>
        <v>1840</v>
      </c>
      <c r="S93" s="43">
        <f t="shared" si="9"/>
        <v>1840</v>
      </c>
    </row>
    <row r="94" spans="1:19" ht="26" x14ac:dyDescent="0.35">
      <c r="A94" s="32" t="s">
        <v>18</v>
      </c>
      <c r="B94" s="33" t="s">
        <v>479</v>
      </c>
      <c r="C94" s="33" t="s">
        <v>67</v>
      </c>
      <c r="D94" s="34" t="s">
        <v>19</v>
      </c>
      <c r="E94" s="31" t="s">
        <v>36</v>
      </c>
      <c r="F94" s="35" t="s">
        <v>202</v>
      </c>
      <c r="G94" s="36" t="s">
        <v>167</v>
      </c>
      <c r="H94" s="36">
        <v>21601</v>
      </c>
      <c r="I94" s="37" t="s">
        <v>218</v>
      </c>
      <c r="J94" s="38" t="s">
        <v>219</v>
      </c>
      <c r="K94" s="30" t="s">
        <v>220</v>
      </c>
      <c r="L94" s="30" t="s">
        <v>193</v>
      </c>
      <c r="M94" s="30" t="s">
        <v>193</v>
      </c>
      <c r="N94" s="30" t="s">
        <v>221</v>
      </c>
      <c r="O94" s="39">
        <v>2</v>
      </c>
      <c r="P94" s="40">
        <v>99</v>
      </c>
      <c r="Q94" s="41" t="s">
        <v>195</v>
      </c>
      <c r="R94" s="42">
        <f t="shared" si="11"/>
        <v>198</v>
      </c>
      <c r="S94" s="43">
        <f t="shared" si="9"/>
        <v>198</v>
      </c>
    </row>
    <row r="95" spans="1:19" ht="39" x14ac:dyDescent="0.35">
      <c r="A95" s="32" t="s">
        <v>18</v>
      </c>
      <c r="B95" s="33" t="s">
        <v>479</v>
      </c>
      <c r="C95" s="33" t="s">
        <v>67</v>
      </c>
      <c r="D95" s="34" t="s">
        <v>19</v>
      </c>
      <c r="E95" s="31" t="s">
        <v>185</v>
      </c>
      <c r="F95" s="35" t="s">
        <v>19</v>
      </c>
      <c r="G95" s="36" t="s">
        <v>222</v>
      </c>
      <c r="H95" s="36">
        <v>22103</v>
      </c>
      <c r="I95" s="37" t="s">
        <v>223</v>
      </c>
      <c r="J95" s="38" t="s">
        <v>224</v>
      </c>
      <c r="K95" s="30" t="s">
        <v>34</v>
      </c>
      <c r="L95" s="30" t="s">
        <v>193</v>
      </c>
      <c r="M95" s="30" t="s">
        <v>193</v>
      </c>
      <c r="N95" s="30" t="s">
        <v>217</v>
      </c>
      <c r="O95" s="39">
        <v>1</v>
      </c>
      <c r="P95" s="40">
        <v>6682</v>
      </c>
      <c r="Q95" s="41" t="s">
        <v>195</v>
      </c>
      <c r="R95" s="42">
        <f t="shared" si="11"/>
        <v>6682</v>
      </c>
      <c r="S95" s="43">
        <f t="shared" si="9"/>
        <v>6682</v>
      </c>
    </row>
    <row r="96" spans="1:19" ht="78" x14ac:dyDescent="0.35">
      <c r="A96" s="32" t="s">
        <v>18</v>
      </c>
      <c r="B96" s="33" t="s">
        <v>479</v>
      </c>
      <c r="C96" s="33" t="s">
        <v>67</v>
      </c>
      <c r="D96" s="34" t="s">
        <v>19</v>
      </c>
      <c r="E96" s="31" t="s">
        <v>20</v>
      </c>
      <c r="F96" s="35" t="s">
        <v>19</v>
      </c>
      <c r="G96" s="36" t="s">
        <v>21</v>
      </c>
      <c r="H96" s="36">
        <v>26103</v>
      </c>
      <c r="I96" s="37" t="s">
        <v>225</v>
      </c>
      <c r="J96" s="38" t="s">
        <v>38</v>
      </c>
      <c r="K96" s="30" t="s">
        <v>39</v>
      </c>
      <c r="L96" s="30" t="s">
        <v>193</v>
      </c>
      <c r="M96" s="30" t="s">
        <v>193</v>
      </c>
      <c r="N96" s="30" t="s">
        <v>200</v>
      </c>
      <c r="O96" s="39">
        <v>1</v>
      </c>
      <c r="P96" s="40">
        <v>35000</v>
      </c>
      <c r="Q96" s="41" t="s">
        <v>195</v>
      </c>
      <c r="R96" s="42">
        <f t="shared" si="11"/>
        <v>35000</v>
      </c>
      <c r="S96" s="43">
        <f t="shared" si="9"/>
        <v>35000</v>
      </c>
    </row>
    <row r="97" spans="1:19" ht="78" x14ac:dyDescent="0.35">
      <c r="A97" s="32" t="s">
        <v>18</v>
      </c>
      <c r="B97" s="33" t="s">
        <v>479</v>
      </c>
      <c r="C97" s="33" t="s">
        <v>67</v>
      </c>
      <c r="D97" s="34" t="s">
        <v>19</v>
      </c>
      <c r="E97" s="31" t="s">
        <v>42</v>
      </c>
      <c r="F97" s="35" t="s">
        <v>226</v>
      </c>
      <c r="G97" s="36" t="s">
        <v>22</v>
      </c>
      <c r="H97" s="36">
        <v>26102</v>
      </c>
      <c r="I97" s="37" t="s">
        <v>225</v>
      </c>
      <c r="J97" s="38" t="s">
        <v>28</v>
      </c>
      <c r="K97" s="30" t="s">
        <v>26</v>
      </c>
      <c r="L97" s="30" t="s">
        <v>193</v>
      </c>
      <c r="M97" s="30" t="s">
        <v>193</v>
      </c>
      <c r="N97" s="30" t="s">
        <v>200</v>
      </c>
      <c r="O97" s="39">
        <v>1</v>
      </c>
      <c r="P97" s="40">
        <v>293</v>
      </c>
      <c r="Q97" s="41" t="s">
        <v>195</v>
      </c>
      <c r="R97" s="42">
        <f t="shared" si="11"/>
        <v>293</v>
      </c>
      <c r="S97" s="43">
        <f t="shared" si="9"/>
        <v>293</v>
      </c>
    </row>
    <row r="98" spans="1:19" ht="78" x14ac:dyDescent="0.35">
      <c r="A98" s="32" t="s">
        <v>18</v>
      </c>
      <c r="B98" s="33" t="s">
        <v>479</v>
      </c>
      <c r="C98" s="33" t="s">
        <v>67</v>
      </c>
      <c r="D98" s="34" t="s">
        <v>19</v>
      </c>
      <c r="E98" s="31" t="s">
        <v>20</v>
      </c>
      <c r="F98" s="35" t="s">
        <v>19</v>
      </c>
      <c r="G98" s="36" t="s">
        <v>21</v>
      </c>
      <c r="H98" s="36">
        <v>33901</v>
      </c>
      <c r="I98" s="37" t="s">
        <v>225</v>
      </c>
      <c r="J98" s="38" t="s">
        <v>191</v>
      </c>
      <c r="K98" s="30" t="s">
        <v>227</v>
      </c>
      <c r="L98" s="30" t="s">
        <v>193</v>
      </c>
      <c r="M98" s="30" t="s">
        <v>193</v>
      </c>
      <c r="N98" s="30" t="s">
        <v>200</v>
      </c>
      <c r="O98" s="39">
        <v>1</v>
      </c>
      <c r="P98" s="40">
        <v>286.58</v>
      </c>
      <c r="Q98" s="41" t="s">
        <v>195</v>
      </c>
      <c r="R98" s="42">
        <f t="shared" si="11"/>
        <v>286.58</v>
      </c>
      <c r="S98" s="43">
        <f t="shared" si="9"/>
        <v>286.58</v>
      </c>
    </row>
    <row r="99" spans="1:19" ht="39" x14ac:dyDescent="0.35">
      <c r="A99" s="32" t="s">
        <v>18</v>
      </c>
      <c r="B99" s="33" t="s">
        <v>479</v>
      </c>
      <c r="C99" s="33" t="s">
        <v>67</v>
      </c>
      <c r="D99" s="34" t="s">
        <v>19</v>
      </c>
      <c r="E99" s="31" t="s">
        <v>20</v>
      </c>
      <c r="F99" s="35" t="s">
        <v>19</v>
      </c>
      <c r="G99" s="36" t="s">
        <v>21</v>
      </c>
      <c r="H99" s="36">
        <v>32601</v>
      </c>
      <c r="I99" s="37" t="s">
        <v>228</v>
      </c>
      <c r="J99" s="38" t="s">
        <v>191</v>
      </c>
      <c r="K99" s="30" t="s">
        <v>229</v>
      </c>
      <c r="L99" s="30" t="s">
        <v>193</v>
      </c>
      <c r="M99" s="30" t="s">
        <v>193</v>
      </c>
      <c r="N99" s="30" t="s">
        <v>200</v>
      </c>
      <c r="O99" s="39">
        <v>1</v>
      </c>
      <c r="P99" s="40">
        <v>5055.43</v>
      </c>
      <c r="Q99" s="41" t="s">
        <v>195</v>
      </c>
      <c r="R99" s="42">
        <f t="shared" si="11"/>
        <v>5055.43</v>
      </c>
      <c r="S99" s="43">
        <f t="shared" si="9"/>
        <v>5055.43</v>
      </c>
    </row>
    <row r="100" spans="1:19" ht="26" x14ac:dyDescent="0.35">
      <c r="A100" s="32" t="s">
        <v>18</v>
      </c>
      <c r="B100" s="33" t="s">
        <v>479</v>
      </c>
      <c r="C100" s="33" t="s">
        <v>67</v>
      </c>
      <c r="D100" s="34" t="s">
        <v>19</v>
      </c>
      <c r="E100" s="31" t="s">
        <v>20</v>
      </c>
      <c r="F100" s="35" t="s">
        <v>19</v>
      </c>
      <c r="G100" s="36" t="s">
        <v>22</v>
      </c>
      <c r="H100" s="36">
        <v>33801</v>
      </c>
      <c r="I100" s="37" t="s">
        <v>230</v>
      </c>
      <c r="J100" s="38" t="s">
        <v>191</v>
      </c>
      <c r="K100" s="30" t="s">
        <v>231</v>
      </c>
      <c r="L100" s="30" t="s">
        <v>193</v>
      </c>
      <c r="M100" s="30" t="s">
        <v>193</v>
      </c>
      <c r="N100" s="30" t="s">
        <v>200</v>
      </c>
      <c r="O100" s="39">
        <v>1</v>
      </c>
      <c r="P100" s="40">
        <v>33129.599999999999</v>
      </c>
      <c r="Q100" s="41" t="s">
        <v>195</v>
      </c>
      <c r="R100" s="42">
        <f t="shared" si="11"/>
        <v>33129.599999999999</v>
      </c>
      <c r="S100" s="43">
        <f t="shared" si="9"/>
        <v>33129.599999999999</v>
      </c>
    </row>
    <row r="101" spans="1:19" ht="26" x14ac:dyDescent="0.35">
      <c r="A101" s="32" t="s">
        <v>18</v>
      </c>
      <c r="B101" s="33" t="s">
        <v>479</v>
      </c>
      <c r="C101" s="33" t="s">
        <v>67</v>
      </c>
      <c r="D101" s="34" t="s">
        <v>19</v>
      </c>
      <c r="E101" s="31" t="s">
        <v>20</v>
      </c>
      <c r="F101" s="35" t="s">
        <v>19</v>
      </c>
      <c r="G101" s="36" t="s">
        <v>22</v>
      </c>
      <c r="H101" s="36">
        <v>35801</v>
      </c>
      <c r="I101" s="37" t="s">
        <v>232</v>
      </c>
      <c r="J101" s="38" t="s">
        <v>191</v>
      </c>
      <c r="K101" s="30" t="s">
        <v>233</v>
      </c>
      <c r="L101" s="30" t="s">
        <v>193</v>
      </c>
      <c r="M101" s="30" t="s">
        <v>193</v>
      </c>
      <c r="N101" s="30" t="s">
        <v>200</v>
      </c>
      <c r="O101" s="39">
        <v>1</v>
      </c>
      <c r="P101" s="40">
        <v>27956</v>
      </c>
      <c r="Q101" s="41" t="s">
        <v>195</v>
      </c>
      <c r="R101" s="42">
        <f t="shared" si="11"/>
        <v>27956</v>
      </c>
      <c r="S101" s="43">
        <f t="shared" si="9"/>
        <v>27956</v>
      </c>
    </row>
    <row r="102" spans="1:19" ht="26" x14ac:dyDescent="0.35">
      <c r="A102" s="32" t="s">
        <v>18</v>
      </c>
      <c r="B102" s="33" t="s">
        <v>479</v>
      </c>
      <c r="C102" s="33" t="s">
        <v>67</v>
      </c>
      <c r="D102" s="34" t="s">
        <v>19</v>
      </c>
      <c r="E102" s="31" t="s">
        <v>42</v>
      </c>
      <c r="F102" s="35" t="s">
        <v>226</v>
      </c>
      <c r="G102" s="36" t="s">
        <v>22</v>
      </c>
      <c r="H102" s="36">
        <v>35801</v>
      </c>
      <c r="I102" s="37" t="s">
        <v>232</v>
      </c>
      <c r="J102" s="38" t="s">
        <v>191</v>
      </c>
      <c r="K102" s="30" t="s">
        <v>234</v>
      </c>
      <c r="L102" s="30" t="s">
        <v>193</v>
      </c>
      <c r="M102" s="30" t="s">
        <v>193</v>
      </c>
      <c r="N102" s="30" t="s">
        <v>200</v>
      </c>
      <c r="O102" s="39">
        <v>1</v>
      </c>
      <c r="P102" s="40">
        <v>13978</v>
      </c>
      <c r="Q102" s="41" t="s">
        <v>195</v>
      </c>
      <c r="R102" s="42">
        <f t="shared" si="11"/>
        <v>13978</v>
      </c>
      <c r="S102" s="43">
        <f t="shared" si="9"/>
        <v>13978</v>
      </c>
    </row>
    <row r="103" spans="1:19" ht="26" x14ac:dyDescent="0.35">
      <c r="A103" s="32" t="s">
        <v>18</v>
      </c>
      <c r="B103" s="33" t="s">
        <v>479</v>
      </c>
      <c r="C103" s="33" t="s">
        <v>67</v>
      </c>
      <c r="D103" s="34" t="s">
        <v>19</v>
      </c>
      <c r="E103" s="31" t="s">
        <v>20</v>
      </c>
      <c r="F103" s="35" t="s">
        <v>19</v>
      </c>
      <c r="G103" s="36" t="s">
        <v>22</v>
      </c>
      <c r="H103" s="36">
        <v>32201</v>
      </c>
      <c r="I103" s="37" t="s">
        <v>235</v>
      </c>
      <c r="J103" s="38" t="s">
        <v>191</v>
      </c>
      <c r="K103" s="30" t="s">
        <v>236</v>
      </c>
      <c r="L103" s="30" t="s">
        <v>193</v>
      </c>
      <c r="M103" s="30" t="s">
        <v>193</v>
      </c>
      <c r="N103" s="30" t="s">
        <v>200</v>
      </c>
      <c r="O103" s="39">
        <v>1</v>
      </c>
      <c r="P103" s="40">
        <v>70058.42</v>
      </c>
      <c r="Q103" s="41" t="s">
        <v>195</v>
      </c>
      <c r="R103" s="42">
        <f t="shared" si="11"/>
        <v>70058.42</v>
      </c>
      <c r="S103" s="43">
        <f t="shared" si="9"/>
        <v>70058.42</v>
      </c>
    </row>
    <row r="104" spans="1:19" ht="26" x14ac:dyDescent="0.35">
      <c r="A104" s="32" t="s">
        <v>18</v>
      </c>
      <c r="B104" s="33" t="s">
        <v>479</v>
      </c>
      <c r="C104" s="33" t="s">
        <v>67</v>
      </c>
      <c r="D104" s="34" t="s">
        <v>19</v>
      </c>
      <c r="E104" s="31" t="s">
        <v>42</v>
      </c>
      <c r="F104" s="35" t="s">
        <v>226</v>
      </c>
      <c r="G104" s="36" t="s">
        <v>48</v>
      </c>
      <c r="H104" s="36">
        <v>32201</v>
      </c>
      <c r="I104" s="37" t="s">
        <v>235</v>
      </c>
      <c r="J104" s="38" t="s">
        <v>191</v>
      </c>
      <c r="K104" s="30" t="s">
        <v>237</v>
      </c>
      <c r="L104" s="30" t="s">
        <v>193</v>
      </c>
      <c r="M104" s="30" t="s">
        <v>193</v>
      </c>
      <c r="N104" s="30" t="s">
        <v>200</v>
      </c>
      <c r="O104" s="39">
        <v>1</v>
      </c>
      <c r="P104" s="40">
        <v>89939.520000000004</v>
      </c>
      <c r="Q104" s="41" t="s">
        <v>195</v>
      </c>
      <c r="R104" s="42">
        <f t="shared" si="11"/>
        <v>89939.520000000004</v>
      </c>
      <c r="S104" s="43">
        <f t="shared" si="9"/>
        <v>89939.520000000004</v>
      </c>
    </row>
    <row r="105" spans="1:19" ht="52" x14ac:dyDescent="0.35">
      <c r="A105" s="32" t="s">
        <v>18</v>
      </c>
      <c r="B105" s="33" t="s">
        <v>479</v>
      </c>
      <c r="C105" s="33" t="s">
        <v>67</v>
      </c>
      <c r="D105" s="34" t="s">
        <v>19</v>
      </c>
      <c r="E105" s="31" t="s">
        <v>20</v>
      </c>
      <c r="F105" s="35" t="s">
        <v>19</v>
      </c>
      <c r="G105" s="36" t="s">
        <v>21</v>
      </c>
      <c r="H105" s="36">
        <v>22104</v>
      </c>
      <c r="I105" s="37" t="s">
        <v>216</v>
      </c>
      <c r="J105" s="38" t="s">
        <v>33</v>
      </c>
      <c r="K105" s="30" t="s">
        <v>34</v>
      </c>
      <c r="L105" s="30" t="s">
        <v>193</v>
      </c>
      <c r="M105" s="30" t="s">
        <v>193</v>
      </c>
      <c r="N105" s="30" t="s">
        <v>217</v>
      </c>
      <c r="O105" s="39">
        <v>1</v>
      </c>
      <c r="P105" s="40">
        <v>215</v>
      </c>
      <c r="Q105" s="41" t="s">
        <v>195</v>
      </c>
      <c r="R105" s="42">
        <f t="shared" si="11"/>
        <v>215</v>
      </c>
      <c r="S105" s="43">
        <f t="shared" si="9"/>
        <v>215</v>
      </c>
    </row>
    <row r="106" spans="1:19" ht="39" x14ac:dyDescent="0.35">
      <c r="A106" s="32" t="s">
        <v>18</v>
      </c>
      <c r="B106" s="33" t="s">
        <v>479</v>
      </c>
      <c r="C106" s="33" t="s">
        <v>67</v>
      </c>
      <c r="D106" s="34" t="s">
        <v>19</v>
      </c>
      <c r="E106" s="31" t="s">
        <v>20</v>
      </c>
      <c r="F106" s="35" t="s">
        <v>19</v>
      </c>
      <c r="G106" s="36" t="s">
        <v>21</v>
      </c>
      <c r="H106" s="36">
        <v>29401</v>
      </c>
      <c r="I106" s="37" t="s">
        <v>238</v>
      </c>
      <c r="J106" s="38" t="s">
        <v>239</v>
      </c>
      <c r="K106" s="30" t="s">
        <v>240</v>
      </c>
      <c r="L106" s="30" t="s">
        <v>193</v>
      </c>
      <c r="M106" s="30" t="s">
        <v>193</v>
      </c>
      <c r="N106" s="30" t="s">
        <v>215</v>
      </c>
      <c r="O106" s="39">
        <v>1</v>
      </c>
      <c r="P106" s="40">
        <v>190</v>
      </c>
      <c r="Q106" s="41" t="s">
        <v>195</v>
      </c>
      <c r="R106" s="42">
        <f t="shared" si="11"/>
        <v>190</v>
      </c>
      <c r="S106" s="43">
        <f t="shared" si="9"/>
        <v>190</v>
      </c>
    </row>
    <row r="107" spans="1:19" ht="26" x14ac:dyDescent="0.35">
      <c r="A107" s="32" t="s">
        <v>18</v>
      </c>
      <c r="B107" s="33" t="s">
        <v>479</v>
      </c>
      <c r="C107" s="33" t="s">
        <v>67</v>
      </c>
      <c r="D107" s="34" t="s">
        <v>19</v>
      </c>
      <c r="E107" s="31" t="s">
        <v>20</v>
      </c>
      <c r="F107" s="35" t="s">
        <v>19</v>
      </c>
      <c r="G107" s="36" t="s">
        <v>21</v>
      </c>
      <c r="H107" s="36">
        <v>29901</v>
      </c>
      <c r="I107" s="37" t="s">
        <v>241</v>
      </c>
      <c r="J107" s="38" t="s">
        <v>242</v>
      </c>
      <c r="K107" s="30" t="s">
        <v>243</v>
      </c>
      <c r="L107" s="30" t="s">
        <v>193</v>
      </c>
      <c r="M107" s="30" t="s">
        <v>193</v>
      </c>
      <c r="N107" s="30" t="s">
        <v>215</v>
      </c>
      <c r="O107" s="39">
        <v>1</v>
      </c>
      <c r="P107" s="40">
        <v>1999</v>
      </c>
      <c r="Q107" s="41" t="s">
        <v>195</v>
      </c>
      <c r="R107" s="42">
        <f t="shared" si="11"/>
        <v>1999</v>
      </c>
      <c r="S107" s="43">
        <f t="shared" si="9"/>
        <v>1999</v>
      </c>
    </row>
    <row r="108" spans="1:19" ht="26" x14ac:dyDescent="0.35">
      <c r="A108" s="32" t="s">
        <v>18</v>
      </c>
      <c r="B108" s="33" t="s">
        <v>479</v>
      </c>
      <c r="C108" s="33" t="s">
        <v>67</v>
      </c>
      <c r="D108" s="34" t="s">
        <v>19</v>
      </c>
      <c r="E108" s="31" t="s">
        <v>20</v>
      </c>
      <c r="F108" s="35" t="s">
        <v>19</v>
      </c>
      <c r="G108" s="36" t="s">
        <v>21</v>
      </c>
      <c r="H108" s="36">
        <v>24601</v>
      </c>
      <c r="I108" s="37" t="s">
        <v>244</v>
      </c>
      <c r="J108" s="38" t="s">
        <v>245</v>
      </c>
      <c r="K108" s="30" t="s">
        <v>246</v>
      </c>
      <c r="L108" s="30" t="s">
        <v>193</v>
      </c>
      <c r="M108" s="30" t="s">
        <v>193</v>
      </c>
      <c r="N108" s="30" t="s">
        <v>247</v>
      </c>
      <c r="O108" s="39">
        <v>5</v>
      </c>
      <c r="P108" s="40">
        <f>100/5</f>
        <v>20</v>
      </c>
      <c r="Q108" s="41" t="s">
        <v>195</v>
      </c>
      <c r="R108" s="44">
        <f t="shared" si="11"/>
        <v>100</v>
      </c>
      <c r="S108" s="45">
        <f t="shared" si="9"/>
        <v>100</v>
      </c>
    </row>
    <row r="109" spans="1:19" ht="26" x14ac:dyDescent="0.35">
      <c r="A109" s="32" t="s">
        <v>18</v>
      </c>
      <c r="B109" s="33" t="s">
        <v>479</v>
      </c>
      <c r="C109" s="33" t="s">
        <v>67</v>
      </c>
      <c r="D109" s="34" t="s">
        <v>19</v>
      </c>
      <c r="E109" s="31" t="s">
        <v>20</v>
      </c>
      <c r="F109" s="35" t="s">
        <v>19</v>
      </c>
      <c r="G109" s="36" t="s">
        <v>21</v>
      </c>
      <c r="H109" s="36">
        <v>24601</v>
      </c>
      <c r="I109" s="37" t="s">
        <v>244</v>
      </c>
      <c r="J109" s="38" t="s">
        <v>248</v>
      </c>
      <c r="K109" s="30" t="s">
        <v>249</v>
      </c>
      <c r="L109" s="30" t="s">
        <v>193</v>
      </c>
      <c r="M109" s="30" t="s">
        <v>193</v>
      </c>
      <c r="N109" s="30" t="s">
        <v>215</v>
      </c>
      <c r="O109" s="39">
        <v>3</v>
      </c>
      <c r="P109" s="40">
        <f>42.09/3</f>
        <v>14.030000000000001</v>
      </c>
      <c r="Q109" s="41" t="s">
        <v>195</v>
      </c>
      <c r="R109" s="44">
        <f t="shared" si="11"/>
        <v>42.09</v>
      </c>
      <c r="S109" s="45">
        <f t="shared" si="9"/>
        <v>42.09</v>
      </c>
    </row>
    <row r="110" spans="1:19" ht="26" x14ac:dyDescent="0.35">
      <c r="A110" s="32" t="s">
        <v>18</v>
      </c>
      <c r="B110" s="33" t="s">
        <v>479</v>
      </c>
      <c r="C110" s="33" t="s">
        <v>67</v>
      </c>
      <c r="D110" s="34" t="s">
        <v>19</v>
      </c>
      <c r="E110" s="31" t="s">
        <v>20</v>
      </c>
      <c r="F110" s="35" t="s">
        <v>19</v>
      </c>
      <c r="G110" s="36" t="s">
        <v>21</v>
      </c>
      <c r="H110" s="36">
        <v>24601</v>
      </c>
      <c r="I110" s="37" t="s">
        <v>244</v>
      </c>
      <c r="J110" s="38" t="s">
        <v>250</v>
      </c>
      <c r="K110" s="30" t="s">
        <v>251</v>
      </c>
      <c r="L110" s="30" t="s">
        <v>193</v>
      </c>
      <c r="M110" s="30" t="s">
        <v>193</v>
      </c>
      <c r="N110" s="30" t="s">
        <v>215</v>
      </c>
      <c r="O110" s="39">
        <v>3</v>
      </c>
      <c r="P110" s="40">
        <f>300/3</f>
        <v>100</v>
      </c>
      <c r="Q110" s="41" t="s">
        <v>195</v>
      </c>
      <c r="R110" s="44">
        <f t="shared" si="11"/>
        <v>300</v>
      </c>
      <c r="S110" s="45">
        <f t="shared" si="9"/>
        <v>300</v>
      </c>
    </row>
    <row r="111" spans="1:19" ht="26" x14ac:dyDescent="0.35">
      <c r="A111" s="32" t="s">
        <v>18</v>
      </c>
      <c r="B111" s="33" t="s">
        <v>479</v>
      </c>
      <c r="C111" s="33" t="s">
        <v>67</v>
      </c>
      <c r="D111" s="34" t="s">
        <v>19</v>
      </c>
      <c r="E111" s="31" t="s">
        <v>20</v>
      </c>
      <c r="F111" s="35" t="s">
        <v>19</v>
      </c>
      <c r="G111" s="36" t="s">
        <v>21</v>
      </c>
      <c r="H111" s="36">
        <v>24601</v>
      </c>
      <c r="I111" s="37" t="s">
        <v>244</v>
      </c>
      <c r="J111" s="38" t="s">
        <v>252</v>
      </c>
      <c r="K111" s="30" t="s">
        <v>253</v>
      </c>
      <c r="L111" s="30" t="s">
        <v>193</v>
      </c>
      <c r="M111" s="30" t="s">
        <v>193</v>
      </c>
      <c r="N111" s="30" t="s">
        <v>215</v>
      </c>
      <c r="O111" s="39">
        <v>9</v>
      </c>
      <c r="P111" s="40">
        <f>359.91/9</f>
        <v>39.99</v>
      </c>
      <c r="Q111" s="41" t="s">
        <v>195</v>
      </c>
      <c r="R111" s="44">
        <f t="shared" si="11"/>
        <v>359.91</v>
      </c>
      <c r="S111" s="45">
        <f t="shared" si="9"/>
        <v>359.91</v>
      </c>
    </row>
    <row r="112" spans="1:19" ht="26" x14ac:dyDescent="0.35">
      <c r="A112" s="32" t="s">
        <v>18</v>
      </c>
      <c r="B112" s="33" t="s">
        <v>479</v>
      </c>
      <c r="C112" s="33" t="s">
        <v>67</v>
      </c>
      <c r="D112" s="34" t="s">
        <v>19</v>
      </c>
      <c r="E112" s="31" t="s">
        <v>20</v>
      </c>
      <c r="F112" s="35" t="s">
        <v>19</v>
      </c>
      <c r="G112" s="36" t="s">
        <v>21</v>
      </c>
      <c r="H112" s="36">
        <v>24601</v>
      </c>
      <c r="I112" s="37" t="s">
        <v>244</v>
      </c>
      <c r="J112" s="38" t="s">
        <v>254</v>
      </c>
      <c r="K112" s="30" t="s">
        <v>255</v>
      </c>
      <c r="L112" s="30" t="s">
        <v>193</v>
      </c>
      <c r="M112" s="30" t="s">
        <v>193</v>
      </c>
      <c r="N112" s="30" t="s">
        <v>215</v>
      </c>
      <c r="O112" s="39">
        <v>9</v>
      </c>
      <c r="P112" s="40">
        <f>225/9</f>
        <v>25</v>
      </c>
      <c r="Q112" s="41" t="s">
        <v>195</v>
      </c>
      <c r="R112" s="44">
        <f t="shared" si="11"/>
        <v>225</v>
      </c>
      <c r="S112" s="45">
        <f t="shared" si="9"/>
        <v>225</v>
      </c>
    </row>
    <row r="113" spans="1:19" ht="26" x14ac:dyDescent="0.35">
      <c r="A113" s="32" t="s">
        <v>18</v>
      </c>
      <c r="B113" s="33" t="s">
        <v>479</v>
      </c>
      <c r="C113" s="33" t="s">
        <v>67</v>
      </c>
      <c r="D113" s="34" t="s">
        <v>19</v>
      </c>
      <c r="E113" s="31" t="s">
        <v>20</v>
      </c>
      <c r="F113" s="35" t="s">
        <v>19</v>
      </c>
      <c r="G113" s="36" t="s">
        <v>21</v>
      </c>
      <c r="H113" s="36">
        <v>21101</v>
      </c>
      <c r="I113" s="37" t="s">
        <v>203</v>
      </c>
      <c r="J113" s="38" t="s">
        <v>256</v>
      </c>
      <c r="K113" s="30" t="s">
        <v>257</v>
      </c>
      <c r="L113" s="30" t="s">
        <v>193</v>
      </c>
      <c r="M113" s="30" t="s">
        <v>193</v>
      </c>
      <c r="N113" s="30" t="s">
        <v>215</v>
      </c>
      <c r="O113" s="39">
        <v>2</v>
      </c>
      <c r="P113" s="40">
        <f>180/2</f>
        <v>90</v>
      </c>
      <c r="Q113" s="41" t="s">
        <v>195</v>
      </c>
      <c r="R113" s="44">
        <f t="shared" si="11"/>
        <v>180</v>
      </c>
      <c r="S113" s="45">
        <f t="shared" si="9"/>
        <v>180</v>
      </c>
    </row>
    <row r="114" spans="1:19" ht="26" x14ac:dyDescent="0.35">
      <c r="A114" s="32" t="s">
        <v>18</v>
      </c>
      <c r="B114" s="33" t="s">
        <v>479</v>
      </c>
      <c r="C114" s="33" t="s">
        <v>67</v>
      </c>
      <c r="D114" s="34" t="s">
        <v>19</v>
      </c>
      <c r="E114" s="31" t="s">
        <v>20</v>
      </c>
      <c r="F114" s="35" t="s">
        <v>19</v>
      </c>
      <c r="G114" s="36" t="s">
        <v>21</v>
      </c>
      <c r="H114" s="36">
        <v>24601</v>
      </c>
      <c r="I114" s="37" t="s">
        <v>244</v>
      </c>
      <c r="J114" s="38" t="s">
        <v>258</v>
      </c>
      <c r="K114" s="30" t="s">
        <v>259</v>
      </c>
      <c r="L114" s="30" t="s">
        <v>193</v>
      </c>
      <c r="M114" s="30" t="s">
        <v>193</v>
      </c>
      <c r="N114" s="30" t="s">
        <v>215</v>
      </c>
      <c r="O114" s="39">
        <v>2</v>
      </c>
      <c r="P114" s="40">
        <f>46.02/2</f>
        <v>23.01</v>
      </c>
      <c r="Q114" s="41" t="s">
        <v>195</v>
      </c>
      <c r="R114" s="44">
        <f t="shared" si="11"/>
        <v>46.02</v>
      </c>
      <c r="S114" s="45">
        <f t="shared" si="9"/>
        <v>46.02</v>
      </c>
    </row>
    <row r="115" spans="1:19" ht="26" x14ac:dyDescent="0.35">
      <c r="A115" s="32" t="s">
        <v>18</v>
      </c>
      <c r="B115" s="33" t="s">
        <v>479</v>
      </c>
      <c r="C115" s="33" t="s">
        <v>67</v>
      </c>
      <c r="D115" s="34" t="s">
        <v>19</v>
      </c>
      <c r="E115" s="31" t="s">
        <v>20</v>
      </c>
      <c r="F115" s="35" t="s">
        <v>19</v>
      </c>
      <c r="G115" s="36" t="s">
        <v>21</v>
      </c>
      <c r="H115" s="36">
        <v>24601</v>
      </c>
      <c r="I115" s="37" t="s">
        <v>244</v>
      </c>
      <c r="J115" s="38" t="s">
        <v>260</v>
      </c>
      <c r="K115" s="30" t="s">
        <v>261</v>
      </c>
      <c r="L115" s="30" t="s">
        <v>193</v>
      </c>
      <c r="M115" s="30" t="s">
        <v>193</v>
      </c>
      <c r="N115" s="30" t="s">
        <v>215</v>
      </c>
      <c r="O115" s="39">
        <v>1</v>
      </c>
      <c r="P115" s="40">
        <v>98.99</v>
      </c>
      <c r="Q115" s="41" t="s">
        <v>195</v>
      </c>
      <c r="R115" s="44">
        <f t="shared" si="11"/>
        <v>98.99</v>
      </c>
      <c r="S115" s="45">
        <f t="shared" si="9"/>
        <v>98.99</v>
      </c>
    </row>
    <row r="116" spans="1:19" ht="26" x14ac:dyDescent="0.35">
      <c r="A116" s="32" t="s">
        <v>18</v>
      </c>
      <c r="B116" s="33" t="s">
        <v>479</v>
      </c>
      <c r="C116" s="33" t="s">
        <v>67</v>
      </c>
      <c r="D116" s="34" t="s">
        <v>19</v>
      </c>
      <c r="E116" s="31" t="s">
        <v>20</v>
      </c>
      <c r="F116" s="35" t="s">
        <v>19</v>
      </c>
      <c r="G116" s="36" t="s">
        <v>21</v>
      </c>
      <c r="H116" s="36">
        <v>24601</v>
      </c>
      <c r="I116" s="37" t="s">
        <v>244</v>
      </c>
      <c r="J116" s="38" t="s">
        <v>262</v>
      </c>
      <c r="K116" s="30" t="s">
        <v>263</v>
      </c>
      <c r="L116" s="30" t="s">
        <v>193</v>
      </c>
      <c r="M116" s="30" t="s">
        <v>193</v>
      </c>
      <c r="N116" s="30" t="s">
        <v>215</v>
      </c>
      <c r="O116" s="39">
        <v>1</v>
      </c>
      <c r="P116" s="40">
        <v>165</v>
      </c>
      <c r="Q116" s="41" t="s">
        <v>195</v>
      </c>
      <c r="R116" s="44">
        <f t="shared" si="11"/>
        <v>165</v>
      </c>
      <c r="S116" s="45">
        <f t="shared" si="9"/>
        <v>165</v>
      </c>
    </row>
    <row r="117" spans="1:19" ht="26" x14ac:dyDescent="0.35">
      <c r="A117" s="32" t="s">
        <v>18</v>
      </c>
      <c r="B117" s="33" t="s">
        <v>479</v>
      </c>
      <c r="C117" s="33" t="s">
        <v>67</v>
      </c>
      <c r="D117" s="34" t="s">
        <v>19</v>
      </c>
      <c r="E117" s="31" t="s">
        <v>20</v>
      </c>
      <c r="F117" s="35" t="s">
        <v>19</v>
      </c>
      <c r="G117" s="36" t="s">
        <v>21</v>
      </c>
      <c r="H117" s="36">
        <v>24601</v>
      </c>
      <c r="I117" s="37" t="s">
        <v>244</v>
      </c>
      <c r="J117" s="38" t="s">
        <v>264</v>
      </c>
      <c r="K117" s="30" t="s">
        <v>265</v>
      </c>
      <c r="L117" s="30" t="s">
        <v>193</v>
      </c>
      <c r="M117" s="30" t="s">
        <v>193</v>
      </c>
      <c r="N117" s="30" t="s">
        <v>215</v>
      </c>
      <c r="O117" s="39">
        <v>3</v>
      </c>
      <c r="P117" s="40">
        <f>108/3</f>
        <v>36</v>
      </c>
      <c r="Q117" s="41" t="s">
        <v>195</v>
      </c>
      <c r="R117" s="44">
        <f t="shared" si="11"/>
        <v>108</v>
      </c>
      <c r="S117" s="45">
        <f t="shared" si="9"/>
        <v>108</v>
      </c>
    </row>
    <row r="118" spans="1:19" ht="26" x14ac:dyDescent="0.35">
      <c r="A118" s="32" t="s">
        <v>18</v>
      </c>
      <c r="B118" s="33" t="s">
        <v>479</v>
      </c>
      <c r="C118" s="33" t="s">
        <v>67</v>
      </c>
      <c r="D118" s="34" t="s">
        <v>19</v>
      </c>
      <c r="E118" s="31" t="s">
        <v>20</v>
      </c>
      <c r="F118" s="35" t="s">
        <v>19</v>
      </c>
      <c r="G118" s="36" t="s">
        <v>21</v>
      </c>
      <c r="H118" s="36">
        <v>24601</v>
      </c>
      <c r="I118" s="37" t="s">
        <v>244</v>
      </c>
      <c r="J118" s="38" t="s">
        <v>266</v>
      </c>
      <c r="K118" s="30" t="s">
        <v>267</v>
      </c>
      <c r="L118" s="30" t="s">
        <v>193</v>
      </c>
      <c r="M118" s="30" t="s">
        <v>193</v>
      </c>
      <c r="N118" s="30" t="s">
        <v>215</v>
      </c>
      <c r="O118" s="39">
        <v>1</v>
      </c>
      <c r="P118" s="40">
        <v>35</v>
      </c>
      <c r="Q118" s="41" t="s">
        <v>195</v>
      </c>
      <c r="R118" s="44">
        <f t="shared" si="11"/>
        <v>35</v>
      </c>
      <c r="S118" s="45">
        <f t="shared" si="9"/>
        <v>35</v>
      </c>
    </row>
    <row r="119" spans="1:19" ht="65" x14ac:dyDescent="0.35">
      <c r="A119" s="32" t="s">
        <v>18</v>
      </c>
      <c r="B119" s="33" t="s">
        <v>479</v>
      </c>
      <c r="C119" s="33" t="s">
        <v>67</v>
      </c>
      <c r="D119" s="34" t="s">
        <v>19</v>
      </c>
      <c r="E119" s="31" t="s">
        <v>20</v>
      </c>
      <c r="F119" s="35" t="s">
        <v>19</v>
      </c>
      <c r="G119" s="36" t="s">
        <v>21</v>
      </c>
      <c r="H119" s="36">
        <v>26103</v>
      </c>
      <c r="I119" s="37" t="s">
        <v>268</v>
      </c>
      <c r="J119" s="38" t="s">
        <v>269</v>
      </c>
      <c r="K119" s="30" t="s">
        <v>270</v>
      </c>
      <c r="L119" s="30" t="s">
        <v>193</v>
      </c>
      <c r="M119" s="30" t="s">
        <v>193</v>
      </c>
      <c r="N119" s="30" t="s">
        <v>215</v>
      </c>
      <c r="O119" s="39">
        <v>1</v>
      </c>
      <c r="P119" s="40">
        <v>155</v>
      </c>
      <c r="Q119" s="41" t="s">
        <v>195</v>
      </c>
      <c r="R119" s="44">
        <f t="shared" si="11"/>
        <v>155</v>
      </c>
      <c r="S119" s="45">
        <f t="shared" si="9"/>
        <v>155</v>
      </c>
    </row>
    <row r="120" spans="1:19" ht="26" x14ac:dyDescent="0.35">
      <c r="A120" s="32" t="s">
        <v>18</v>
      </c>
      <c r="B120" s="33" t="s">
        <v>479</v>
      </c>
      <c r="C120" s="33" t="s">
        <v>67</v>
      </c>
      <c r="D120" s="34" t="s">
        <v>19</v>
      </c>
      <c r="E120" s="31" t="s">
        <v>20</v>
      </c>
      <c r="F120" s="35" t="s">
        <v>19</v>
      </c>
      <c r="G120" s="36" t="s">
        <v>21</v>
      </c>
      <c r="H120" s="36">
        <v>29901</v>
      </c>
      <c r="I120" s="37" t="s">
        <v>271</v>
      </c>
      <c r="J120" s="38" t="s">
        <v>272</v>
      </c>
      <c r="K120" s="30" t="s">
        <v>273</v>
      </c>
      <c r="L120" s="30" t="s">
        <v>193</v>
      </c>
      <c r="M120" s="30" t="s">
        <v>193</v>
      </c>
      <c r="N120" s="30" t="s">
        <v>215</v>
      </c>
      <c r="O120" s="39">
        <v>1</v>
      </c>
      <c r="P120" s="40">
        <v>394.99</v>
      </c>
      <c r="Q120" s="41" t="s">
        <v>195</v>
      </c>
      <c r="R120" s="44">
        <f t="shared" si="11"/>
        <v>394.99</v>
      </c>
      <c r="S120" s="45">
        <f t="shared" si="9"/>
        <v>394.99</v>
      </c>
    </row>
    <row r="121" spans="1:19" ht="26" x14ac:dyDescent="0.35">
      <c r="A121" s="32" t="s">
        <v>18</v>
      </c>
      <c r="B121" s="33" t="s">
        <v>479</v>
      </c>
      <c r="C121" s="33" t="s">
        <v>67</v>
      </c>
      <c r="D121" s="34" t="s">
        <v>19</v>
      </c>
      <c r="E121" s="31" t="s">
        <v>20</v>
      </c>
      <c r="F121" s="35" t="s">
        <v>19</v>
      </c>
      <c r="G121" s="36" t="s">
        <v>21</v>
      </c>
      <c r="H121" s="36">
        <v>29901</v>
      </c>
      <c r="I121" s="37" t="s">
        <v>271</v>
      </c>
      <c r="J121" s="38" t="s">
        <v>272</v>
      </c>
      <c r="K121" s="30" t="s">
        <v>273</v>
      </c>
      <c r="L121" s="30" t="s">
        <v>193</v>
      </c>
      <c r="M121" s="30" t="s">
        <v>193</v>
      </c>
      <c r="N121" s="30" t="s">
        <v>215</v>
      </c>
      <c r="O121" s="39">
        <v>1</v>
      </c>
      <c r="P121" s="40">
        <v>395</v>
      </c>
      <c r="Q121" s="41" t="s">
        <v>195</v>
      </c>
      <c r="R121" s="44">
        <f t="shared" si="11"/>
        <v>395</v>
      </c>
      <c r="S121" s="45">
        <f t="shared" si="9"/>
        <v>395</v>
      </c>
    </row>
    <row r="122" spans="1:19" ht="26" x14ac:dyDescent="0.35">
      <c r="A122" s="32" t="s">
        <v>18</v>
      </c>
      <c r="B122" s="33" t="s">
        <v>479</v>
      </c>
      <c r="C122" s="33" t="s">
        <v>67</v>
      </c>
      <c r="D122" s="34" t="s">
        <v>19</v>
      </c>
      <c r="E122" s="31" t="s">
        <v>20</v>
      </c>
      <c r="F122" s="35" t="s">
        <v>19</v>
      </c>
      <c r="G122" s="36" t="s">
        <v>21</v>
      </c>
      <c r="H122" s="36">
        <v>24901</v>
      </c>
      <c r="I122" s="37" t="s">
        <v>274</v>
      </c>
      <c r="J122" s="38" t="s">
        <v>275</v>
      </c>
      <c r="K122" s="30" t="s">
        <v>276</v>
      </c>
      <c r="L122" s="30" t="s">
        <v>193</v>
      </c>
      <c r="M122" s="30" t="s">
        <v>193</v>
      </c>
      <c r="N122" s="30" t="s">
        <v>215</v>
      </c>
      <c r="O122" s="39">
        <v>1</v>
      </c>
      <c r="P122" s="40">
        <v>35</v>
      </c>
      <c r="Q122" s="41" t="s">
        <v>195</v>
      </c>
      <c r="R122" s="44">
        <f t="shared" si="11"/>
        <v>35</v>
      </c>
      <c r="S122" s="45">
        <f t="shared" si="9"/>
        <v>35</v>
      </c>
    </row>
    <row r="123" spans="1:19" ht="26" x14ac:dyDescent="0.35">
      <c r="A123" s="32" t="s">
        <v>18</v>
      </c>
      <c r="B123" s="33" t="s">
        <v>479</v>
      </c>
      <c r="C123" s="33" t="s">
        <v>67</v>
      </c>
      <c r="D123" s="34" t="s">
        <v>19</v>
      </c>
      <c r="E123" s="31" t="s">
        <v>20</v>
      </c>
      <c r="F123" s="35" t="s">
        <v>19</v>
      </c>
      <c r="G123" s="36" t="s">
        <v>21</v>
      </c>
      <c r="H123" s="36">
        <v>29201</v>
      </c>
      <c r="I123" s="37" t="s">
        <v>277</v>
      </c>
      <c r="J123" s="38" t="s">
        <v>278</v>
      </c>
      <c r="K123" s="30" t="s">
        <v>279</v>
      </c>
      <c r="L123" s="30" t="s">
        <v>193</v>
      </c>
      <c r="M123" s="30" t="s">
        <v>193</v>
      </c>
      <c r="N123" s="30" t="s">
        <v>215</v>
      </c>
      <c r="O123" s="39">
        <v>1</v>
      </c>
      <c r="P123" s="40">
        <v>150</v>
      </c>
      <c r="Q123" s="41" t="s">
        <v>195</v>
      </c>
      <c r="R123" s="44">
        <f t="shared" si="11"/>
        <v>150</v>
      </c>
      <c r="S123" s="45">
        <f t="shared" si="9"/>
        <v>150</v>
      </c>
    </row>
    <row r="124" spans="1:19" ht="26" x14ac:dyDescent="0.35">
      <c r="A124" s="32" t="s">
        <v>18</v>
      </c>
      <c r="B124" s="33" t="s">
        <v>479</v>
      </c>
      <c r="C124" s="33" t="s">
        <v>67</v>
      </c>
      <c r="D124" s="34" t="s">
        <v>19</v>
      </c>
      <c r="E124" s="31" t="s">
        <v>20</v>
      </c>
      <c r="F124" s="35" t="s">
        <v>19</v>
      </c>
      <c r="G124" s="36" t="s">
        <v>21</v>
      </c>
      <c r="H124" s="36">
        <v>24601</v>
      </c>
      <c r="I124" s="37" t="s">
        <v>244</v>
      </c>
      <c r="J124" s="38" t="s">
        <v>280</v>
      </c>
      <c r="K124" s="30" t="s">
        <v>281</v>
      </c>
      <c r="L124" s="30" t="s">
        <v>193</v>
      </c>
      <c r="M124" s="30" t="s">
        <v>193</v>
      </c>
      <c r="N124" s="30" t="s">
        <v>215</v>
      </c>
      <c r="O124" s="39">
        <v>1</v>
      </c>
      <c r="P124" s="40">
        <v>130</v>
      </c>
      <c r="Q124" s="41" t="s">
        <v>195</v>
      </c>
      <c r="R124" s="44">
        <f t="shared" si="11"/>
        <v>130</v>
      </c>
      <c r="S124" s="45">
        <f t="shared" si="9"/>
        <v>130</v>
      </c>
    </row>
    <row r="125" spans="1:19" ht="26" x14ac:dyDescent="0.35">
      <c r="A125" s="32" t="s">
        <v>18</v>
      </c>
      <c r="B125" s="33" t="s">
        <v>479</v>
      </c>
      <c r="C125" s="33" t="s">
        <v>67</v>
      </c>
      <c r="D125" s="34" t="s">
        <v>19</v>
      </c>
      <c r="E125" s="31" t="s">
        <v>20</v>
      </c>
      <c r="F125" s="35" t="s">
        <v>19</v>
      </c>
      <c r="G125" s="36" t="s">
        <v>21</v>
      </c>
      <c r="H125" s="36">
        <v>21101</v>
      </c>
      <c r="I125" s="37" t="s">
        <v>203</v>
      </c>
      <c r="J125" s="38" t="s">
        <v>282</v>
      </c>
      <c r="K125" s="30" t="s">
        <v>283</v>
      </c>
      <c r="L125" s="30" t="s">
        <v>193</v>
      </c>
      <c r="M125" s="30" t="s">
        <v>193</v>
      </c>
      <c r="N125" s="30" t="s">
        <v>215</v>
      </c>
      <c r="O125" s="39">
        <v>2</v>
      </c>
      <c r="P125" s="40">
        <f>50/2</f>
        <v>25</v>
      </c>
      <c r="Q125" s="41" t="s">
        <v>195</v>
      </c>
      <c r="R125" s="44">
        <f t="shared" si="11"/>
        <v>50</v>
      </c>
      <c r="S125" s="45">
        <f t="shared" si="9"/>
        <v>50</v>
      </c>
    </row>
    <row r="126" spans="1:19" ht="26" x14ac:dyDescent="0.35">
      <c r="A126" s="32" t="s">
        <v>18</v>
      </c>
      <c r="B126" s="33" t="s">
        <v>479</v>
      </c>
      <c r="C126" s="33" t="s">
        <v>67</v>
      </c>
      <c r="D126" s="34" t="s">
        <v>19</v>
      </c>
      <c r="E126" s="31" t="s">
        <v>20</v>
      </c>
      <c r="F126" s="35" t="s">
        <v>19</v>
      </c>
      <c r="G126" s="36" t="s">
        <v>21</v>
      </c>
      <c r="H126" s="36">
        <v>29901</v>
      </c>
      <c r="I126" s="37" t="s">
        <v>271</v>
      </c>
      <c r="J126" s="38" t="s">
        <v>284</v>
      </c>
      <c r="K126" s="30" t="s">
        <v>285</v>
      </c>
      <c r="L126" s="30" t="s">
        <v>193</v>
      </c>
      <c r="M126" s="30" t="s">
        <v>193</v>
      </c>
      <c r="N126" s="30" t="s">
        <v>215</v>
      </c>
      <c r="O126" s="39">
        <v>1</v>
      </c>
      <c r="P126" s="40">
        <v>420</v>
      </c>
      <c r="Q126" s="41" t="s">
        <v>195</v>
      </c>
      <c r="R126" s="44">
        <f t="shared" si="11"/>
        <v>420</v>
      </c>
      <c r="S126" s="45">
        <f t="shared" si="9"/>
        <v>420</v>
      </c>
    </row>
    <row r="127" spans="1:19" ht="26" x14ac:dyDescent="0.35">
      <c r="A127" s="32" t="s">
        <v>18</v>
      </c>
      <c r="B127" s="33" t="s">
        <v>479</v>
      </c>
      <c r="C127" s="33" t="s">
        <v>67</v>
      </c>
      <c r="D127" s="34" t="s">
        <v>19</v>
      </c>
      <c r="E127" s="31" t="s">
        <v>20</v>
      </c>
      <c r="F127" s="35" t="s">
        <v>19</v>
      </c>
      <c r="G127" s="36" t="s">
        <v>21</v>
      </c>
      <c r="H127" s="36">
        <v>35901</v>
      </c>
      <c r="I127" s="37" t="s">
        <v>286</v>
      </c>
      <c r="J127" s="38" t="s">
        <v>191</v>
      </c>
      <c r="K127" s="30" t="s">
        <v>287</v>
      </c>
      <c r="L127" s="30" t="s">
        <v>193</v>
      </c>
      <c r="M127" s="30" t="s">
        <v>193</v>
      </c>
      <c r="N127" s="30" t="s">
        <v>200</v>
      </c>
      <c r="O127" s="39">
        <v>1</v>
      </c>
      <c r="P127" s="40">
        <v>1599.64</v>
      </c>
      <c r="Q127" s="41" t="s">
        <v>195</v>
      </c>
      <c r="R127" s="44">
        <f t="shared" si="11"/>
        <v>1599.64</v>
      </c>
      <c r="S127" s="45">
        <f t="shared" si="9"/>
        <v>1599.64</v>
      </c>
    </row>
    <row r="128" spans="1:19" ht="39" x14ac:dyDescent="0.35">
      <c r="A128" s="32" t="s">
        <v>18</v>
      </c>
      <c r="B128" s="33" t="s">
        <v>479</v>
      </c>
      <c r="C128" s="33" t="s">
        <v>67</v>
      </c>
      <c r="D128" s="34" t="s">
        <v>19</v>
      </c>
      <c r="E128" s="31" t="s">
        <v>20</v>
      </c>
      <c r="F128" s="35" t="s">
        <v>19</v>
      </c>
      <c r="G128" s="36" t="s">
        <v>21</v>
      </c>
      <c r="H128" s="36">
        <v>22103</v>
      </c>
      <c r="I128" s="37" t="s">
        <v>288</v>
      </c>
      <c r="J128" s="38" t="s">
        <v>224</v>
      </c>
      <c r="K128" s="30" t="s">
        <v>34</v>
      </c>
      <c r="L128" s="30" t="s">
        <v>193</v>
      </c>
      <c r="M128" s="30" t="s">
        <v>193</v>
      </c>
      <c r="N128" s="30" t="s">
        <v>217</v>
      </c>
      <c r="O128" s="39">
        <v>1</v>
      </c>
      <c r="P128" s="40">
        <v>1461.6</v>
      </c>
      <c r="Q128" s="41" t="s">
        <v>195</v>
      </c>
      <c r="R128" s="44">
        <f t="shared" si="11"/>
        <v>1461.6</v>
      </c>
      <c r="S128" s="45">
        <f>R128</f>
        <v>1461.6</v>
      </c>
    </row>
    <row r="129" spans="1:19" ht="26" x14ac:dyDescent="0.35">
      <c r="A129" s="32" t="s">
        <v>18</v>
      </c>
      <c r="B129" s="33" t="s">
        <v>479</v>
      </c>
      <c r="C129" s="33" t="s">
        <v>67</v>
      </c>
      <c r="D129" s="34" t="s">
        <v>19</v>
      </c>
      <c r="E129" s="31" t="s">
        <v>20</v>
      </c>
      <c r="F129" s="35" t="s">
        <v>19</v>
      </c>
      <c r="G129" s="36" t="s">
        <v>21</v>
      </c>
      <c r="H129" s="36">
        <v>21101</v>
      </c>
      <c r="I129" s="37" t="s">
        <v>203</v>
      </c>
      <c r="J129" s="38" t="s">
        <v>80</v>
      </c>
      <c r="K129" s="30" t="s">
        <v>111</v>
      </c>
      <c r="L129" s="30" t="s">
        <v>193</v>
      </c>
      <c r="M129" s="30" t="s">
        <v>193</v>
      </c>
      <c r="N129" s="30" t="s">
        <v>215</v>
      </c>
      <c r="O129" s="39">
        <v>12</v>
      </c>
      <c r="P129" s="40">
        <f>145.08/12</f>
        <v>12.090000000000002</v>
      </c>
      <c r="Q129" s="41" t="s">
        <v>195</v>
      </c>
      <c r="R129" s="44">
        <f t="shared" si="11"/>
        <v>145.08000000000001</v>
      </c>
      <c r="S129" s="45">
        <f t="shared" ref="S129:S141" si="12">R129</f>
        <v>145.08000000000001</v>
      </c>
    </row>
    <row r="130" spans="1:19" ht="26" x14ac:dyDescent="0.35">
      <c r="A130" s="32" t="s">
        <v>18</v>
      </c>
      <c r="B130" s="33" t="s">
        <v>479</v>
      </c>
      <c r="C130" s="33" t="s">
        <v>67</v>
      </c>
      <c r="D130" s="34" t="s">
        <v>19</v>
      </c>
      <c r="E130" s="31" t="s">
        <v>20</v>
      </c>
      <c r="F130" s="35" t="s">
        <v>19</v>
      </c>
      <c r="G130" s="36" t="s">
        <v>21</v>
      </c>
      <c r="H130" s="36">
        <v>21101</v>
      </c>
      <c r="I130" s="37" t="s">
        <v>203</v>
      </c>
      <c r="J130" s="38" t="s">
        <v>289</v>
      </c>
      <c r="K130" s="30" t="s">
        <v>290</v>
      </c>
      <c r="L130" s="30" t="s">
        <v>193</v>
      </c>
      <c r="M130" s="30" t="s">
        <v>193</v>
      </c>
      <c r="N130" s="30" t="s">
        <v>215</v>
      </c>
      <c r="O130" s="39">
        <v>12</v>
      </c>
      <c r="P130" s="40">
        <f>201.48/12</f>
        <v>16.79</v>
      </c>
      <c r="Q130" s="41" t="s">
        <v>195</v>
      </c>
      <c r="R130" s="44">
        <f t="shared" si="11"/>
        <v>201.48</v>
      </c>
      <c r="S130" s="45">
        <f t="shared" si="12"/>
        <v>201.48</v>
      </c>
    </row>
    <row r="131" spans="1:19" ht="26" x14ac:dyDescent="0.35">
      <c r="A131" s="32" t="s">
        <v>18</v>
      </c>
      <c r="B131" s="33" t="s">
        <v>479</v>
      </c>
      <c r="C131" s="33" t="s">
        <v>67</v>
      </c>
      <c r="D131" s="34" t="s">
        <v>19</v>
      </c>
      <c r="E131" s="31" t="s">
        <v>20</v>
      </c>
      <c r="F131" s="35" t="s">
        <v>19</v>
      </c>
      <c r="G131" s="36" t="s">
        <v>21</v>
      </c>
      <c r="H131" s="36">
        <v>21101</v>
      </c>
      <c r="I131" s="37" t="s">
        <v>203</v>
      </c>
      <c r="J131" s="38" t="s">
        <v>291</v>
      </c>
      <c r="K131" s="30" t="s">
        <v>292</v>
      </c>
      <c r="L131" s="30" t="s">
        <v>193</v>
      </c>
      <c r="M131" s="30" t="s">
        <v>193</v>
      </c>
      <c r="N131" s="30" t="s">
        <v>215</v>
      </c>
      <c r="O131" s="39">
        <v>24</v>
      </c>
      <c r="P131" s="40">
        <f>172.08/24</f>
        <v>7.1700000000000008</v>
      </c>
      <c r="Q131" s="41" t="s">
        <v>195</v>
      </c>
      <c r="R131" s="44">
        <f t="shared" si="11"/>
        <v>172.08</v>
      </c>
      <c r="S131" s="45">
        <f t="shared" si="12"/>
        <v>172.08</v>
      </c>
    </row>
    <row r="132" spans="1:19" ht="26" x14ac:dyDescent="0.35">
      <c r="A132" s="32" t="s">
        <v>18</v>
      </c>
      <c r="B132" s="33" t="s">
        <v>479</v>
      </c>
      <c r="C132" s="33" t="s">
        <v>67</v>
      </c>
      <c r="D132" s="34" t="s">
        <v>19</v>
      </c>
      <c r="E132" s="31" t="s">
        <v>20</v>
      </c>
      <c r="F132" s="35" t="s">
        <v>19</v>
      </c>
      <c r="G132" s="36" t="s">
        <v>21</v>
      </c>
      <c r="H132" s="36">
        <v>21101</v>
      </c>
      <c r="I132" s="37" t="s">
        <v>203</v>
      </c>
      <c r="J132" s="38" t="s">
        <v>94</v>
      </c>
      <c r="K132" s="30" t="s">
        <v>125</v>
      </c>
      <c r="L132" s="30" t="s">
        <v>193</v>
      </c>
      <c r="M132" s="30" t="s">
        <v>193</v>
      </c>
      <c r="N132" s="30" t="s">
        <v>215</v>
      </c>
      <c r="O132" s="39">
        <v>10</v>
      </c>
      <c r="P132" s="40">
        <f>411/10</f>
        <v>41.1</v>
      </c>
      <c r="Q132" s="41" t="s">
        <v>195</v>
      </c>
      <c r="R132" s="44">
        <f t="shared" si="11"/>
        <v>411</v>
      </c>
      <c r="S132" s="45">
        <f t="shared" si="12"/>
        <v>411</v>
      </c>
    </row>
    <row r="133" spans="1:19" ht="26" x14ac:dyDescent="0.35">
      <c r="A133" s="32" t="s">
        <v>18</v>
      </c>
      <c r="B133" s="33" t="s">
        <v>479</v>
      </c>
      <c r="C133" s="33" t="s">
        <v>67</v>
      </c>
      <c r="D133" s="34" t="s">
        <v>19</v>
      </c>
      <c r="E133" s="31" t="s">
        <v>20</v>
      </c>
      <c r="F133" s="35" t="s">
        <v>19</v>
      </c>
      <c r="G133" s="36" t="s">
        <v>21</v>
      </c>
      <c r="H133" s="36">
        <v>21101</v>
      </c>
      <c r="I133" s="37" t="s">
        <v>203</v>
      </c>
      <c r="J133" s="38" t="s">
        <v>293</v>
      </c>
      <c r="K133" s="30" t="s">
        <v>294</v>
      </c>
      <c r="L133" s="30" t="s">
        <v>193</v>
      </c>
      <c r="M133" s="30" t="s">
        <v>193</v>
      </c>
      <c r="N133" s="30" t="s">
        <v>295</v>
      </c>
      <c r="O133" s="39">
        <v>2</v>
      </c>
      <c r="P133" s="40">
        <f>176.68/2</f>
        <v>88.34</v>
      </c>
      <c r="Q133" s="41" t="s">
        <v>195</v>
      </c>
      <c r="R133" s="44">
        <f t="shared" si="11"/>
        <v>176.68</v>
      </c>
      <c r="S133" s="45">
        <f t="shared" si="12"/>
        <v>176.68</v>
      </c>
    </row>
    <row r="134" spans="1:19" ht="26" x14ac:dyDescent="0.35">
      <c r="A134" s="32" t="s">
        <v>18</v>
      </c>
      <c r="B134" s="33" t="s">
        <v>479</v>
      </c>
      <c r="C134" s="33" t="s">
        <v>67</v>
      </c>
      <c r="D134" s="34" t="s">
        <v>19</v>
      </c>
      <c r="E134" s="31" t="s">
        <v>20</v>
      </c>
      <c r="F134" s="35" t="s">
        <v>19</v>
      </c>
      <c r="G134" s="36" t="s">
        <v>21</v>
      </c>
      <c r="H134" s="36">
        <v>21101</v>
      </c>
      <c r="I134" s="37" t="s">
        <v>203</v>
      </c>
      <c r="J134" s="38" t="s">
        <v>296</v>
      </c>
      <c r="K134" s="30" t="s">
        <v>297</v>
      </c>
      <c r="L134" s="30" t="s">
        <v>193</v>
      </c>
      <c r="M134" s="30" t="s">
        <v>193</v>
      </c>
      <c r="N134" s="30" t="s">
        <v>215</v>
      </c>
      <c r="O134" s="39">
        <v>1</v>
      </c>
      <c r="P134" s="40">
        <v>235.92</v>
      </c>
      <c r="Q134" s="41" t="s">
        <v>195</v>
      </c>
      <c r="R134" s="44">
        <f t="shared" si="11"/>
        <v>235.92</v>
      </c>
      <c r="S134" s="45">
        <f t="shared" si="12"/>
        <v>235.92</v>
      </c>
    </row>
    <row r="135" spans="1:19" ht="26" x14ac:dyDescent="0.35">
      <c r="A135" s="32" t="s">
        <v>18</v>
      </c>
      <c r="B135" s="33" t="s">
        <v>479</v>
      </c>
      <c r="C135" s="33" t="s">
        <v>67</v>
      </c>
      <c r="D135" s="34" t="s">
        <v>19</v>
      </c>
      <c r="E135" s="31" t="s">
        <v>20</v>
      </c>
      <c r="F135" s="35" t="s">
        <v>19</v>
      </c>
      <c r="G135" s="36" t="s">
        <v>21</v>
      </c>
      <c r="H135" s="36">
        <v>21101</v>
      </c>
      <c r="I135" s="37" t="s">
        <v>203</v>
      </c>
      <c r="J135" s="38" t="s">
        <v>298</v>
      </c>
      <c r="K135" s="30" t="s">
        <v>299</v>
      </c>
      <c r="L135" s="30" t="s">
        <v>193</v>
      </c>
      <c r="M135" s="30" t="s">
        <v>193</v>
      </c>
      <c r="N135" s="30" t="s">
        <v>300</v>
      </c>
      <c r="O135" s="39">
        <v>2</v>
      </c>
      <c r="P135" s="40">
        <f>304.14/2</f>
        <v>152.07</v>
      </c>
      <c r="Q135" s="41" t="s">
        <v>195</v>
      </c>
      <c r="R135" s="44">
        <f t="shared" si="11"/>
        <v>304.14</v>
      </c>
      <c r="S135" s="45">
        <f t="shared" si="12"/>
        <v>304.14</v>
      </c>
    </row>
    <row r="136" spans="1:19" ht="26" x14ac:dyDescent="0.35">
      <c r="A136" s="32" t="s">
        <v>18</v>
      </c>
      <c r="B136" s="33" t="s">
        <v>479</v>
      </c>
      <c r="C136" s="33" t="s">
        <v>67</v>
      </c>
      <c r="D136" s="34" t="s">
        <v>19</v>
      </c>
      <c r="E136" s="31" t="s">
        <v>20</v>
      </c>
      <c r="F136" s="35" t="s">
        <v>19</v>
      </c>
      <c r="G136" s="36" t="s">
        <v>21</v>
      </c>
      <c r="H136" s="36">
        <v>21101</v>
      </c>
      <c r="I136" s="37" t="s">
        <v>203</v>
      </c>
      <c r="J136" s="38" t="s">
        <v>301</v>
      </c>
      <c r="K136" s="30" t="s">
        <v>302</v>
      </c>
      <c r="L136" s="30" t="s">
        <v>193</v>
      </c>
      <c r="M136" s="30" t="s">
        <v>193</v>
      </c>
      <c r="N136" s="30" t="s">
        <v>300</v>
      </c>
      <c r="O136" s="39">
        <v>2</v>
      </c>
      <c r="P136" s="40">
        <f>358.88/2</f>
        <v>179.44</v>
      </c>
      <c r="Q136" s="41" t="s">
        <v>195</v>
      </c>
      <c r="R136" s="44">
        <f t="shared" si="11"/>
        <v>358.88</v>
      </c>
      <c r="S136" s="45">
        <f t="shared" si="12"/>
        <v>358.88</v>
      </c>
    </row>
    <row r="137" spans="1:19" ht="26" x14ac:dyDescent="0.35">
      <c r="A137" s="32" t="s">
        <v>18</v>
      </c>
      <c r="B137" s="33" t="s">
        <v>479</v>
      </c>
      <c r="C137" s="33" t="s">
        <v>67</v>
      </c>
      <c r="D137" s="34" t="s">
        <v>19</v>
      </c>
      <c r="E137" s="31" t="s">
        <v>20</v>
      </c>
      <c r="F137" s="35" t="s">
        <v>19</v>
      </c>
      <c r="G137" s="36" t="s">
        <v>21</v>
      </c>
      <c r="H137" s="36">
        <v>21101</v>
      </c>
      <c r="I137" s="37" t="s">
        <v>203</v>
      </c>
      <c r="J137" s="38" t="s">
        <v>92</v>
      </c>
      <c r="K137" s="30" t="s">
        <v>123</v>
      </c>
      <c r="L137" s="30" t="s">
        <v>193</v>
      </c>
      <c r="M137" s="30" t="s">
        <v>193</v>
      </c>
      <c r="N137" s="30" t="s">
        <v>300</v>
      </c>
      <c r="O137" s="39">
        <v>40</v>
      </c>
      <c r="P137" s="40">
        <f>2846.4/40</f>
        <v>71.16</v>
      </c>
      <c r="Q137" s="41" t="s">
        <v>195</v>
      </c>
      <c r="R137" s="44">
        <f t="shared" si="11"/>
        <v>2846.3999999999996</v>
      </c>
      <c r="S137" s="45">
        <f t="shared" si="12"/>
        <v>2846.3999999999996</v>
      </c>
    </row>
    <row r="138" spans="1:19" ht="26" x14ac:dyDescent="0.35">
      <c r="A138" s="32" t="s">
        <v>18</v>
      </c>
      <c r="B138" s="33" t="s">
        <v>479</v>
      </c>
      <c r="C138" s="33" t="s">
        <v>67</v>
      </c>
      <c r="D138" s="34" t="s">
        <v>19</v>
      </c>
      <c r="E138" s="31" t="s">
        <v>20</v>
      </c>
      <c r="F138" s="35" t="s">
        <v>19</v>
      </c>
      <c r="G138" s="36" t="s">
        <v>21</v>
      </c>
      <c r="H138" s="36">
        <v>21101</v>
      </c>
      <c r="I138" s="37" t="s">
        <v>203</v>
      </c>
      <c r="J138" s="38" t="s">
        <v>298</v>
      </c>
      <c r="K138" s="30" t="s">
        <v>299</v>
      </c>
      <c r="L138" s="30" t="s">
        <v>193</v>
      </c>
      <c r="M138" s="30" t="s">
        <v>193</v>
      </c>
      <c r="N138" s="30" t="s">
        <v>300</v>
      </c>
      <c r="O138" s="39">
        <v>2</v>
      </c>
      <c r="P138" s="40">
        <f>170.86/2</f>
        <v>85.43</v>
      </c>
      <c r="Q138" s="41" t="s">
        <v>195</v>
      </c>
      <c r="R138" s="44">
        <f t="shared" si="11"/>
        <v>170.86</v>
      </c>
      <c r="S138" s="45">
        <f t="shared" si="12"/>
        <v>170.86</v>
      </c>
    </row>
    <row r="139" spans="1:19" ht="26" x14ac:dyDescent="0.35">
      <c r="A139" s="32" t="s">
        <v>18</v>
      </c>
      <c r="B139" s="33" t="s">
        <v>479</v>
      </c>
      <c r="C139" s="33" t="s">
        <v>67</v>
      </c>
      <c r="D139" s="34" t="s">
        <v>19</v>
      </c>
      <c r="E139" s="31" t="s">
        <v>20</v>
      </c>
      <c r="F139" s="35" t="s">
        <v>19</v>
      </c>
      <c r="G139" s="36" t="s">
        <v>21</v>
      </c>
      <c r="H139" s="36">
        <v>21101</v>
      </c>
      <c r="I139" s="37" t="s">
        <v>203</v>
      </c>
      <c r="J139" s="38" t="s">
        <v>303</v>
      </c>
      <c r="K139" s="30" t="s">
        <v>304</v>
      </c>
      <c r="L139" s="30" t="s">
        <v>193</v>
      </c>
      <c r="M139" s="30" t="s">
        <v>193</v>
      </c>
      <c r="N139" s="30" t="s">
        <v>305</v>
      </c>
      <c r="O139" s="39">
        <v>20</v>
      </c>
      <c r="P139" s="40">
        <f>720/20</f>
        <v>36</v>
      </c>
      <c r="Q139" s="41" t="s">
        <v>195</v>
      </c>
      <c r="R139" s="44">
        <f t="shared" si="11"/>
        <v>720</v>
      </c>
      <c r="S139" s="45">
        <f t="shared" si="12"/>
        <v>720</v>
      </c>
    </row>
    <row r="140" spans="1:19" ht="26" x14ac:dyDescent="0.35">
      <c r="A140" s="32" t="s">
        <v>18</v>
      </c>
      <c r="B140" s="33" t="s">
        <v>479</v>
      </c>
      <c r="C140" s="33" t="s">
        <v>67</v>
      </c>
      <c r="D140" s="34" t="s">
        <v>19</v>
      </c>
      <c r="E140" s="31" t="s">
        <v>20</v>
      </c>
      <c r="F140" s="35" t="s">
        <v>19</v>
      </c>
      <c r="G140" s="36" t="s">
        <v>21</v>
      </c>
      <c r="H140" s="36">
        <v>21101</v>
      </c>
      <c r="I140" s="37" t="s">
        <v>203</v>
      </c>
      <c r="J140" s="38" t="s">
        <v>306</v>
      </c>
      <c r="K140" s="30" t="s">
        <v>307</v>
      </c>
      <c r="L140" s="30" t="s">
        <v>193</v>
      </c>
      <c r="M140" s="30" t="s">
        <v>193</v>
      </c>
      <c r="N140" s="30" t="s">
        <v>295</v>
      </c>
      <c r="O140" s="39">
        <v>10</v>
      </c>
      <c r="P140" s="40">
        <f>533.8/10</f>
        <v>53.379999999999995</v>
      </c>
      <c r="Q140" s="41" t="s">
        <v>195</v>
      </c>
      <c r="R140" s="44">
        <f t="shared" si="11"/>
        <v>533.79999999999995</v>
      </c>
      <c r="S140" s="45">
        <f t="shared" si="12"/>
        <v>533.79999999999995</v>
      </c>
    </row>
    <row r="141" spans="1:19" ht="26" x14ac:dyDescent="0.35">
      <c r="A141" s="32" t="s">
        <v>18</v>
      </c>
      <c r="B141" s="33" t="s">
        <v>479</v>
      </c>
      <c r="C141" s="33" t="s">
        <v>67</v>
      </c>
      <c r="D141" s="34" t="s">
        <v>19</v>
      </c>
      <c r="E141" s="31" t="s">
        <v>20</v>
      </c>
      <c r="F141" s="35" t="s">
        <v>19</v>
      </c>
      <c r="G141" s="36" t="s">
        <v>21</v>
      </c>
      <c r="H141" s="36">
        <v>21101</v>
      </c>
      <c r="I141" s="37" t="s">
        <v>203</v>
      </c>
      <c r="J141" s="38" t="s">
        <v>95</v>
      </c>
      <c r="K141" s="30" t="s">
        <v>126</v>
      </c>
      <c r="L141" s="30" t="s">
        <v>193</v>
      </c>
      <c r="M141" s="30" t="s">
        <v>193</v>
      </c>
      <c r="N141" s="30" t="s">
        <v>215</v>
      </c>
      <c r="O141" s="39">
        <v>4</v>
      </c>
      <c r="P141" s="40">
        <f>1008.36/4</f>
        <v>252.09</v>
      </c>
      <c r="Q141" s="41" t="s">
        <v>195</v>
      </c>
      <c r="R141" s="44">
        <f t="shared" si="11"/>
        <v>1008.36</v>
      </c>
      <c r="S141" s="45">
        <f t="shared" si="12"/>
        <v>1008.36</v>
      </c>
    </row>
    <row r="142" spans="1:19" ht="52" x14ac:dyDescent="0.35">
      <c r="A142" s="32" t="s">
        <v>18</v>
      </c>
      <c r="B142" s="33" t="s">
        <v>479</v>
      </c>
      <c r="C142" s="33" t="s">
        <v>67</v>
      </c>
      <c r="D142" s="34" t="s">
        <v>19</v>
      </c>
      <c r="E142" s="31" t="s">
        <v>20</v>
      </c>
      <c r="F142" s="35" t="s">
        <v>19</v>
      </c>
      <c r="G142" s="36" t="s">
        <v>21</v>
      </c>
      <c r="H142" s="36">
        <v>22104</v>
      </c>
      <c r="I142" s="37" t="s">
        <v>216</v>
      </c>
      <c r="J142" s="38" t="s">
        <v>33</v>
      </c>
      <c r="K142" s="30" t="s">
        <v>34</v>
      </c>
      <c r="L142" s="30" t="s">
        <v>193</v>
      </c>
      <c r="M142" s="30" t="s">
        <v>193</v>
      </c>
      <c r="N142" s="30" t="s">
        <v>217</v>
      </c>
      <c r="O142" s="39">
        <v>1</v>
      </c>
      <c r="P142" s="40">
        <v>219</v>
      </c>
      <c r="Q142" s="41" t="s">
        <v>195</v>
      </c>
      <c r="R142" s="44">
        <f t="shared" si="11"/>
        <v>219</v>
      </c>
      <c r="S142" s="45">
        <f>R142</f>
        <v>219</v>
      </c>
    </row>
    <row r="143" spans="1:19" ht="26" x14ac:dyDescent="0.35">
      <c r="A143" s="32" t="s">
        <v>18</v>
      </c>
      <c r="B143" s="33" t="s">
        <v>479</v>
      </c>
      <c r="C143" s="33" t="s">
        <v>67</v>
      </c>
      <c r="D143" s="34" t="s">
        <v>19</v>
      </c>
      <c r="E143" s="31" t="s">
        <v>308</v>
      </c>
      <c r="F143" s="35" t="s">
        <v>309</v>
      </c>
      <c r="G143" s="36" t="s">
        <v>310</v>
      </c>
      <c r="H143" s="36">
        <v>35801</v>
      </c>
      <c r="I143" s="37" t="s">
        <v>232</v>
      </c>
      <c r="J143" s="38" t="s">
        <v>191</v>
      </c>
      <c r="K143" s="30" t="s">
        <v>311</v>
      </c>
      <c r="L143" s="30" t="s">
        <v>193</v>
      </c>
      <c r="M143" s="30" t="s">
        <v>193</v>
      </c>
      <c r="N143" s="30" t="s">
        <v>200</v>
      </c>
      <c r="O143" s="39">
        <v>1</v>
      </c>
      <c r="P143" s="40">
        <v>1666.76</v>
      </c>
      <c r="Q143" s="41" t="s">
        <v>195</v>
      </c>
      <c r="R143" s="44">
        <f t="shared" si="11"/>
        <v>1666.76</v>
      </c>
      <c r="S143" s="45">
        <f t="shared" ref="S143:S164" si="13">R143</f>
        <v>1666.76</v>
      </c>
    </row>
    <row r="144" spans="1:19" ht="39" x14ac:dyDescent="0.35">
      <c r="A144" s="32" t="s">
        <v>18</v>
      </c>
      <c r="B144" s="33" t="s">
        <v>479</v>
      </c>
      <c r="C144" s="33" t="s">
        <v>67</v>
      </c>
      <c r="D144" s="34" t="s">
        <v>19</v>
      </c>
      <c r="E144" s="31" t="s">
        <v>20</v>
      </c>
      <c r="F144" s="35" t="s">
        <v>19</v>
      </c>
      <c r="G144" s="36" t="s">
        <v>21</v>
      </c>
      <c r="H144" s="36">
        <v>29401</v>
      </c>
      <c r="I144" s="37" t="s">
        <v>312</v>
      </c>
      <c r="J144" s="38" t="s">
        <v>239</v>
      </c>
      <c r="K144" s="30" t="s">
        <v>313</v>
      </c>
      <c r="L144" s="30" t="s">
        <v>193</v>
      </c>
      <c r="M144" s="30" t="s">
        <v>193</v>
      </c>
      <c r="N144" s="30" t="s">
        <v>215</v>
      </c>
      <c r="O144" s="39">
        <v>5</v>
      </c>
      <c r="P144" s="40">
        <f>423.4/5</f>
        <v>84.679999999999993</v>
      </c>
      <c r="Q144" s="41" t="s">
        <v>195</v>
      </c>
      <c r="R144" s="44">
        <f>P144*O144</f>
        <v>423.4</v>
      </c>
      <c r="S144" s="45">
        <f t="shared" si="13"/>
        <v>423.4</v>
      </c>
    </row>
    <row r="145" spans="1:19" ht="39" x14ac:dyDescent="0.35">
      <c r="A145" s="32" t="s">
        <v>18</v>
      </c>
      <c r="B145" s="33" t="s">
        <v>479</v>
      </c>
      <c r="C145" s="33" t="s">
        <v>67</v>
      </c>
      <c r="D145" s="34" t="s">
        <v>19</v>
      </c>
      <c r="E145" s="31" t="s">
        <v>20</v>
      </c>
      <c r="F145" s="35" t="s">
        <v>19</v>
      </c>
      <c r="G145" s="36" t="s">
        <v>21</v>
      </c>
      <c r="H145" s="36">
        <v>29401</v>
      </c>
      <c r="I145" s="37" t="s">
        <v>312</v>
      </c>
      <c r="J145" s="38" t="s">
        <v>314</v>
      </c>
      <c r="K145" s="30" t="s">
        <v>315</v>
      </c>
      <c r="L145" s="30" t="s">
        <v>193</v>
      </c>
      <c r="M145" s="30" t="s">
        <v>193</v>
      </c>
      <c r="N145" s="30" t="s">
        <v>215</v>
      </c>
      <c r="O145" s="39">
        <v>5</v>
      </c>
      <c r="P145" s="40">
        <f>2755/5</f>
        <v>551</v>
      </c>
      <c r="Q145" s="41" t="s">
        <v>195</v>
      </c>
      <c r="R145" s="44">
        <f t="shared" ref="R145:R148" si="14">P145*O145</f>
        <v>2755</v>
      </c>
      <c r="S145" s="45">
        <f t="shared" si="13"/>
        <v>2755</v>
      </c>
    </row>
    <row r="146" spans="1:19" ht="39" x14ac:dyDescent="0.35">
      <c r="A146" s="32" t="s">
        <v>18</v>
      </c>
      <c r="B146" s="33" t="s">
        <v>479</v>
      </c>
      <c r="C146" s="33" t="s">
        <v>67</v>
      </c>
      <c r="D146" s="34" t="s">
        <v>19</v>
      </c>
      <c r="E146" s="31" t="s">
        <v>20</v>
      </c>
      <c r="F146" s="35" t="s">
        <v>19</v>
      </c>
      <c r="G146" s="36" t="s">
        <v>21</v>
      </c>
      <c r="H146" s="36">
        <v>29401</v>
      </c>
      <c r="I146" s="37" t="s">
        <v>312</v>
      </c>
      <c r="J146" s="38" t="s">
        <v>316</v>
      </c>
      <c r="K146" s="30" t="s">
        <v>317</v>
      </c>
      <c r="L146" s="30" t="s">
        <v>193</v>
      </c>
      <c r="M146" s="30" t="s">
        <v>193</v>
      </c>
      <c r="N146" s="30" t="s">
        <v>215</v>
      </c>
      <c r="O146" s="39">
        <v>5</v>
      </c>
      <c r="P146" s="40">
        <f>620.6/5</f>
        <v>124.12</v>
      </c>
      <c r="Q146" s="41" t="s">
        <v>195</v>
      </c>
      <c r="R146" s="44">
        <f t="shared" si="14"/>
        <v>620.6</v>
      </c>
      <c r="S146" s="45">
        <f t="shared" si="13"/>
        <v>620.6</v>
      </c>
    </row>
    <row r="147" spans="1:19" ht="39" x14ac:dyDescent="0.35">
      <c r="A147" s="32" t="s">
        <v>18</v>
      </c>
      <c r="B147" s="33" t="s">
        <v>479</v>
      </c>
      <c r="C147" s="33" t="s">
        <v>67</v>
      </c>
      <c r="D147" s="34" t="s">
        <v>19</v>
      </c>
      <c r="E147" s="31" t="s">
        <v>20</v>
      </c>
      <c r="F147" s="35" t="s">
        <v>19</v>
      </c>
      <c r="G147" s="36" t="s">
        <v>21</v>
      </c>
      <c r="H147" s="36">
        <v>29401</v>
      </c>
      <c r="I147" s="37" t="s">
        <v>312</v>
      </c>
      <c r="J147" s="38" t="s">
        <v>318</v>
      </c>
      <c r="K147" s="30" t="s">
        <v>319</v>
      </c>
      <c r="L147" s="30" t="s">
        <v>193</v>
      </c>
      <c r="M147" s="30" t="s">
        <v>193</v>
      </c>
      <c r="N147" s="30" t="s">
        <v>215</v>
      </c>
      <c r="O147" s="39">
        <v>5</v>
      </c>
      <c r="P147" s="40">
        <f>8526/5</f>
        <v>1705.2</v>
      </c>
      <c r="Q147" s="41" t="s">
        <v>195</v>
      </c>
      <c r="R147" s="44">
        <f t="shared" si="14"/>
        <v>8526</v>
      </c>
      <c r="S147" s="45">
        <f t="shared" si="13"/>
        <v>8526</v>
      </c>
    </row>
    <row r="148" spans="1:19" ht="39" x14ac:dyDescent="0.35">
      <c r="A148" s="32" t="s">
        <v>18</v>
      </c>
      <c r="B148" s="33" t="s">
        <v>479</v>
      </c>
      <c r="C148" s="33" t="s">
        <v>67</v>
      </c>
      <c r="D148" s="34" t="s">
        <v>19</v>
      </c>
      <c r="E148" s="31" t="s">
        <v>20</v>
      </c>
      <c r="F148" s="35" t="s">
        <v>19</v>
      </c>
      <c r="G148" s="36" t="s">
        <v>21</v>
      </c>
      <c r="H148" s="36">
        <v>29401</v>
      </c>
      <c r="I148" s="37" t="s">
        <v>312</v>
      </c>
      <c r="J148" s="38" t="s">
        <v>168</v>
      </c>
      <c r="K148" s="30" t="s">
        <v>170</v>
      </c>
      <c r="L148" s="30" t="s">
        <v>193</v>
      </c>
      <c r="M148" s="30" t="s">
        <v>193</v>
      </c>
      <c r="N148" s="30" t="s">
        <v>215</v>
      </c>
      <c r="O148" s="39">
        <v>10</v>
      </c>
      <c r="P148" s="40">
        <f>823.6/10</f>
        <v>82.36</v>
      </c>
      <c r="Q148" s="41" t="s">
        <v>195</v>
      </c>
      <c r="R148" s="44">
        <f t="shared" si="14"/>
        <v>823.6</v>
      </c>
      <c r="S148" s="45">
        <f t="shared" si="13"/>
        <v>823.6</v>
      </c>
    </row>
    <row r="149" spans="1:19" ht="26" x14ac:dyDescent="0.35">
      <c r="A149" s="32" t="s">
        <v>18</v>
      </c>
      <c r="B149" s="33" t="s">
        <v>479</v>
      </c>
      <c r="C149" s="33" t="s">
        <v>67</v>
      </c>
      <c r="D149" s="34" t="s">
        <v>19</v>
      </c>
      <c r="E149" s="31" t="s">
        <v>185</v>
      </c>
      <c r="F149" s="35" t="s">
        <v>189</v>
      </c>
      <c r="G149" s="36" t="s">
        <v>22</v>
      </c>
      <c r="H149" s="36">
        <v>31602</v>
      </c>
      <c r="I149" s="37" t="s">
        <v>190</v>
      </c>
      <c r="J149" s="38" t="s">
        <v>191</v>
      </c>
      <c r="K149" s="30" t="s">
        <v>320</v>
      </c>
      <c r="L149" s="30" t="s">
        <v>193</v>
      </c>
      <c r="M149" s="30" t="s">
        <v>193</v>
      </c>
      <c r="N149" s="30" t="s">
        <v>194</v>
      </c>
      <c r="O149" s="39">
        <v>1</v>
      </c>
      <c r="P149" s="40">
        <f>651.72*1.16</f>
        <v>755.99519999999995</v>
      </c>
      <c r="Q149" s="41" t="s">
        <v>195</v>
      </c>
      <c r="R149" s="42">
        <f>P149*O149</f>
        <v>755.99519999999995</v>
      </c>
      <c r="S149" s="43">
        <f t="shared" si="13"/>
        <v>755.99519999999995</v>
      </c>
    </row>
    <row r="150" spans="1:19" ht="26" x14ac:dyDescent="0.35">
      <c r="A150" s="32" t="s">
        <v>18</v>
      </c>
      <c r="B150" s="33" t="s">
        <v>479</v>
      </c>
      <c r="C150" s="33" t="s">
        <v>67</v>
      </c>
      <c r="D150" s="34" t="s">
        <v>19</v>
      </c>
      <c r="E150" s="31" t="s">
        <v>20</v>
      </c>
      <c r="F150" s="35" t="s">
        <v>19</v>
      </c>
      <c r="G150" s="36" t="s">
        <v>21</v>
      </c>
      <c r="H150" s="36">
        <v>21601</v>
      </c>
      <c r="I150" s="37" t="s">
        <v>218</v>
      </c>
      <c r="J150" s="38" t="s">
        <v>321</v>
      </c>
      <c r="K150" s="30" t="s">
        <v>322</v>
      </c>
      <c r="L150" s="30" t="s">
        <v>193</v>
      </c>
      <c r="M150" s="30" t="s">
        <v>193</v>
      </c>
      <c r="N150" s="30" t="s">
        <v>300</v>
      </c>
      <c r="O150" s="39">
        <v>20</v>
      </c>
      <c r="P150" s="40">
        <f>417.6/20</f>
        <v>20.880000000000003</v>
      </c>
      <c r="Q150" s="41" t="s">
        <v>195</v>
      </c>
      <c r="R150" s="42">
        <f>P150*O150</f>
        <v>417.6</v>
      </c>
      <c r="S150" s="43">
        <f t="shared" si="13"/>
        <v>417.6</v>
      </c>
    </row>
    <row r="151" spans="1:19" ht="26" x14ac:dyDescent="0.35">
      <c r="A151" s="32" t="s">
        <v>18</v>
      </c>
      <c r="B151" s="33" t="s">
        <v>479</v>
      </c>
      <c r="C151" s="33" t="s">
        <v>67</v>
      </c>
      <c r="D151" s="34" t="s">
        <v>19</v>
      </c>
      <c r="E151" s="31" t="s">
        <v>20</v>
      </c>
      <c r="F151" s="35" t="s">
        <v>19</v>
      </c>
      <c r="G151" s="36" t="s">
        <v>21</v>
      </c>
      <c r="H151" s="36">
        <v>21601</v>
      </c>
      <c r="I151" s="37" t="s">
        <v>218</v>
      </c>
      <c r="J151" s="38" t="s">
        <v>323</v>
      </c>
      <c r="K151" s="30" t="s">
        <v>324</v>
      </c>
      <c r="L151" s="30" t="s">
        <v>193</v>
      </c>
      <c r="M151" s="30" t="s">
        <v>193</v>
      </c>
      <c r="N151" s="30" t="s">
        <v>215</v>
      </c>
      <c r="O151" s="39">
        <v>80</v>
      </c>
      <c r="P151" s="40">
        <f>2459.2/80</f>
        <v>30.74</v>
      </c>
      <c r="Q151" s="41" t="s">
        <v>195</v>
      </c>
      <c r="R151" s="42">
        <f t="shared" ref="R151:R163" si="15">P151*O151</f>
        <v>2459.1999999999998</v>
      </c>
      <c r="S151" s="43">
        <f t="shared" si="13"/>
        <v>2459.1999999999998</v>
      </c>
    </row>
    <row r="152" spans="1:19" ht="26" x14ac:dyDescent="0.35">
      <c r="A152" s="32" t="s">
        <v>18</v>
      </c>
      <c r="B152" s="33" t="s">
        <v>479</v>
      </c>
      <c r="C152" s="33" t="s">
        <v>67</v>
      </c>
      <c r="D152" s="34" t="s">
        <v>19</v>
      </c>
      <c r="E152" s="31" t="s">
        <v>20</v>
      </c>
      <c r="F152" s="35" t="s">
        <v>19</v>
      </c>
      <c r="G152" s="36" t="s">
        <v>21</v>
      </c>
      <c r="H152" s="36">
        <v>21601</v>
      </c>
      <c r="I152" s="37" t="s">
        <v>218</v>
      </c>
      <c r="J152" s="38" t="s">
        <v>325</v>
      </c>
      <c r="K152" s="30" t="s">
        <v>326</v>
      </c>
      <c r="L152" s="30" t="s">
        <v>193</v>
      </c>
      <c r="M152" s="30" t="s">
        <v>193</v>
      </c>
      <c r="N152" s="30" t="s">
        <v>215</v>
      </c>
      <c r="O152" s="39">
        <v>1</v>
      </c>
      <c r="P152" s="40">
        <v>171.68</v>
      </c>
      <c r="Q152" s="41" t="s">
        <v>195</v>
      </c>
      <c r="R152" s="42">
        <f t="shared" si="15"/>
        <v>171.68</v>
      </c>
      <c r="S152" s="43">
        <f t="shared" si="13"/>
        <v>171.68</v>
      </c>
    </row>
    <row r="153" spans="1:19" ht="26" x14ac:dyDescent="0.35">
      <c r="A153" s="32" t="s">
        <v>18</v>
      </c>
      <c r="B153" s="33" t="s">
        <v>479</v>
      </c>
      <c r="C153" s="33" t="s">
        <v>67</v>
      </c>
      <c r="D153" s="34" t="s">
        <v>19</v>
      </c>
      <c r="E153" s="31" t="s">
        <v>20</v>
      </c>
      <c r="F153" s="35" t="s">
        <v>19</v>
      </c>
      <c r="G153" s="36" t="s">
        <v>21</v>
      </c>
      <c r="H153" s="36">
        <v>21601</v>
      </c>
      <c r="I153" s="37" t="s">
        <v>218</v>
      </c>
      <c r="J153" s="38" t="s">
        <v>327</v>
      </c>
      <c r="K153" s="30" t="s">
        <v>328</v>
      </c>
      <c r="L153" s="30" t="s">
        <v>193</v>
      </c>
      <c r="M153" s="30" t="s">
        <v>193</v>
      </c>
      <c r="N153" s="30" t="s">
        <v>215</v>
      </c>
      <c r="O153" s="39">
        <v>2</v>
      </c>
      <c r="P153" s="40">
        <f>208.8/2</f>
        <v>104.4</v>
      </c>
      <c r="Q153" s="41" t="s">
        <v>195</v>
      </c>
      <c r="R153" s="42">
        <f t="shared" si="15"/>
        <v>208.8</v>
      </c>
      <c r="S153" s="43">
        <f t="shared" si="13"/>
        <v>208.8</v>
      </c>
    </row>
    <row r="154" spans="1:19" ht="26" x14ac:dyDescent="0.35">
      <c r="A154" s="32" t="s">
        <v>18</v>
      </c>
      <c r="B154" s="33" t="s">
        <v>479</v>
      </c>
      <c r="C154" s="33" t="s">
        <v>67</v>
      </c>
      <c r="D154" s="34" t="s">
        <v>19</v>
      </c>
      <c r="E154" s="31" t="s">
        <v>20</v>
      </c>
      <c r="F154" s="35" t="s">
        <v>19</v>
      </c>
      <c r="G154" s="36" t="s">
        <v>21</v>
      </c>
      <c r="H154" s="36">
        <v>21601</v>
      </c>
      <c r="I154" s="37" t="s">
        <v>218</v>
      </c>
      <c r="J154" s="38" t="s">
        <v>329</v>
      </c>
      <c r="K154" s="30" t="s">
        <v>330</v>
      </c>
      <c r="L154" s="30" t="s">
        <v>193</v>
      </c>
      <c r="M154" s="30" t="s">
        <v>193</v>
      </c>
      <c r="N154" s="30" t="s">
        <v>331</v>
      </c>
      <c r="O154" s="39">
        <v>20</v>
      </c>
      <c r="P154" s="40">
        <f>853.8/20</f>
        <v>42.69</v>
      </c>
      <c r="Q154" s="41" t="s">
        <v>195</v>
      </c>
      <c r="R154" s="42">
        <f t="shared" si="15"/>
        <v>853.8</v>
      </c>
      <c r="S154" s="43">
        <f t="shared" si="13"/>
        <v>853.8</v>
      </c>
    </row>
    <row r="155" spans="1:19" ht="26" x14ac:dyDescent="0.35">
      <c r="A155" s="32" t="s">
        <v>18</v>
      </c>
      <c r="B155" s="33" t="s">
        <v>479</v>
      </c>
      <c r="C155" s="33" t="s">
        <v>67</v>
      </c>
      <c r="D155" s="34" t="s">
        <v>19</v>
      </c>
      <c r="E155" s="31" t="s">
        <v>20</v>
      </c>
      <c r="F155" s="35" t="s">
        <v>19</v>
      </c>
      <c r="G155" s="36" t="s">
        <v>21</v>
      </c>
      <c r="H155" s="36">
        <v>21101</v>
      </c>
      <c r="I155" s="37" t="s">
        <v>203</v>
      </c>
      <c r="J155" s="38" t="s">
        <v>332</v>
      </c>
      <c r="K155" s="30" t="s">
        <v>333</v>
      </c>
      <c r="L155" s="30" t="s">
        <v>193</v>
      </c>
      <c r="M155" s="30" t="s">
        <v>193</v>
      </c>
      <c r="N155" s="30" t="s">
        <v>295</v>
      </c>
      <c r="O155" s="39">
        <v>40</v>
      </c>
      <c r="P155" s="40">
        <f>928/40</f>
        <v>23.2</v>
      </c>
      <c r="Q155" s="41" t="s">
        <v>195</v>
      </c>
      <c r="R155" s="42">
        <f t="shared" si="15"/>
        <v>928</v>
      </c>
      <c r="S155" s="43">
        <f t="shared" si="13"/>
        <v>928</v>
      </c>
    </row>
    <row r="156" spans="1:19" ht="26" x14ac:dyDescent="0.35">
      <c r="A156" s="32" t="s">
        <v>18</v>
      </c>
      <c r="B156" s="33" t="s">
        <v>479</v>
      </c>
      <c r="C156" s="33" t="s">
        <v>67</v>
      </c>
      <c r="D156" s="34" t="s">
        <v>19</v>
      </c>
      <c r="E156" s="31" t="s">
        <v>20</v>
      </c>
      <c r="F156" s="35" t="s">
        <v>19</v>
      </c>
      <c r="G156" s="36" t="s">
        <v>21</v>
      </c>
      <c r="H156" s="36">
        <v>21601</v>
      </c>
      <c r="I156" s="37" t="s">
        <v>218</v>
      </c>
      <c r="J156" s="38" t="s">
        <v>334</v>
      </c>
      <c r="K156" s="30" t="s">
        <v>335</v>
      </c>
      <c r="L156" s="30" t="s">
        <v>193</v>
      </c>
      <c r="M156" s="30" t="s">
        <v>193</v>
      </c>
      <c r="N156" s="30" t="s">
        <v>295</v>
      </c>
      <c r="O156" s="39">
        <v>8</v>
      </c>
      <c r="P156" s="40">
        <f>3028.96/8</f>
        <v>378.62</v>
      </c>
      <c r="Q156" s="41" t="s">
        <v>195</v>
      </c>
      <c r="R156" s="42">
        <f t="shared" si="15"/>
        <v>3028.96</v>
      </c>
      <c r="S156" s="43">
        <f t="shared" si="13"/>
        <v>3028.96</v>
      </c>
    </row>
    <row r="157" spans="1:19" ht="26" x14ac:dyDescent="0.35">
      <c r="A157" s="32" t="s">
        <v>18</v>
      </c>
      <c r="B157" s="33" t="s">
        <v>479</v>
      </c>
      <c r="C157" s="33" t="s">
        <v>67</v>
      </c>
      <c r="D157" s="34" t="s">
        <v>19</v>
      </c>
      <c r="E157" s="31" t="s">
        <v>20</v>
      </c>
      <c r="F157" s="35" t="s">
        <v>19</v>
      </c>
      <c r="G157" s="36" t="s">
        <v>21</v>
      </c>
      <c r="H157" s="36">
        <v>21601</v>
      </c>
      <c r="I157" s="37" t="s">
        <v>218</v>
      </c>
      <c r="J157" s="38" t="s">
        <v>336</v>
      </c>
      <c r="K157" s="30" t="s">
        <v>337</v>
      </c>
      <c r="L157" s="30" t="s">
        <v>193</v>
      </c>
      <c r="M157" s="30" t="s">
        <v>193</v>
      </c>
      <c r="N157" s="30" t="s">
        <v>300</v>
      </c>
      <c r="O157" s="39">
        <v>8</v>
      </c>
      <c r="P157" s="40">
        <f>2320/8</f>
        <v>290</v>
      </c>
      <c r="Q157" s="41" t="s">
        <v>195</v>
      </c>
      <c r="R157" s="42">
        <f t="shared" si="15"/>
        <v>2320</v>
      </c>
      <c r="S157" s="43">
        <f t="shared" si="13"/>
        <v>2320</v>
      </c>
    </row>
    <row r="158" spans="1:19" ht="26" x14ac:dyDescent="0.35">
      <c r="A158" s="32" t="s">
        <v>18</v>
      </c>
      <c r="B158" s="33" t="s">
        <v>479</v>
      </c>
      <c r="C158" s="33" t="s">
        <v>67</v>
      </c>
      <c r="D158" s="34" t="s">
        <v>19</v>
      </c>
      <c r="E158" s="31" t="s">
        <v>20</v>
      </c>
      <c r="F158" s="35" t="s">
        <v>19</v>
      </c>
      <c r="G158" s="36" t="s">
        <v>21</v>
      </c>
      <c r="H158" s="36">
        <v>21601</v>
      </c>
      <c r="I158" s="37" t="s">
        <v>218</v>
      </c>
      <c r="J158" s="38" t="s">
        <v>338</v>
      </c>
      <c r="K158" s="30" t="s">
        <v>339</v>
      </c>
      <c r="L158" s="30" t="s">
        <v>193</v>
      </c>
      <c r="M158" s="30" t="s">
        <v>193</v>
      </c>
      <c r="N158" s="30" t="s">
        <v>215</v>
      </c>
      <c r="O158" s="39">
        <v>12</v>
      </c>
      <c r="P158" s="40">
        <f>751.68/12</f>
        <v>62.639999999999993</v>
      </c>
      <c r="Q158" s="41" t="s">
        <v>195</v>
      </c>
      <c r="R158" s="42">
        <f t="shared" si="15"/>
        <v>751.68</v>
      </c>
      <c r="S158" s="43">
        <f t="shared" si="13"/>
        <v>751.68</v>
      </c>
    </row>
    <row r="159" spans="1:19" ht="26" x14ac:dyDescent="0.35">
      <c r="A159" s="32" t="s">
        <v>18</v>
      </c>
      <c r="B159" s="33" t="s">
        <v>479</v>
      </c>
      <c r="C159" s="33" t="s">
        <v>67</v>
      </c>
      <c r="D159" s="34" t="s">
        <v>19</v>
      </c>
      <c r="E159" s="31" t="s">
        <v>20</v>
      </c>
      <c r="F159" s="35" t="s">
        <v>19</v>
      </c>
      <c r="G159" s="36" t="s">
        <v>21</v>
      </c>
      <c r="H159" s="36">
        <v>21601</v>
      </c>
      <c r="I159" s="37" t="s">
        <v>218</v>
      </c>
      <c r="J159" s="38" t="s">
        <v>340</v>
      </c>
      <c r="K159" s="30" t="s">
        <v>341</v>
      </c>
      <c r="L159" s="30" t="s">
        <v>193</v>
      </c>
      <c r="M159" s="30" t="s">
        <v>193</v>
      </c>
      <c r="N159" s="30" t="s">
        <v>342</v>
      </c>
      <c r="O159" s="39">
        <v>2</v>
      </c>
      <c r="P159" s="40">
        <f>765.6/2</f>
        <v>382.8</v>
      </c>
      <c r="Q159" s="41" t="s">
        <v>195</v>
      </c>
      <c r="R159" s="42">
        <f t="shared" si="15"/>
        <v>765.6</v>
      </c>
      <c r="S159" s="43">
        <f t="shared" si="13"/>
        <v>765.6</v>
      </c>
    </row>
    <row r="160" spans="1:19" ht="26" x14ac:dyDescent="0.35">
      <c r="A160" s="32" t="s">
        <v>18</v>
      </c>
      <c r="B160" s="33" t="s">
        <v>479</v>
      </c>
      <c r="C160" s="33" t="s">
        <v>67</v>
      </c>
      <c r="D160" s="34" t="s">
        <v>19</v>
      </c>
      <c r="E160" s="31" t="s">
        <v>20</v>
      </c>
      <c r="F160" s="35" t="s">
        <v>19</v>
      </c>
      <c r="G160" s="36" t="s">
        <v>21</v>
      </c>
      <c r="H160" s="36">
        <v>21601</v>
      </c>
      <c r="I160" s="37" t="s">
        <v>218</v>
      </c>
      <c r="J160" s="38" t="s">
        <v>343</v>
      </c>
      <c r="K160" s="30" t="s">
        <v>344</v>
      </c>
      <c r="L160" s="30" t="s">
        <v>193</v>
      </c>
      <c r="M160" s="30" t="s">
        <v>193</v>
      </c>
      <c r="N160" s="30" t="s">
        <v>300</v>
      </c>
      <c r="O160" s="39">
        <v>4</v>
      </c>
      <c r="P160" s="40">
        <f>153.12/4</f>
        <v>38.28</v>
      </c>
      <c r="Q160" s="41" t="s">
        <v>195</v>
      </c>
      <c r="R160" s="42">
        <f t="shared" si="15"/>
        <v>153.12</v>
      </c>
      <c r="S160" s="43">
        <f t="shared" si="13"/>
        <v>153.12</v>
      </c>
    </row>
    <row r="161" spans="1:19" ht="26" x14ac:dyDescent="0.35">
      <c r="A161" s="32" t="s">
        <v>18</v>
      </c>
      <c r="B161" s="33" t="s">
        <v>479</v>
      </c>
      <c r="C161" s="33" t="s">
        <v>67</v>
      </c>
      <c r="D161" s="34" t="s">
        <v>19</v>
      </c>
      <c r="E161" s="31" t="s">
        <v>20</v>
      </c>
      <c r="F161" s="35" t="s">
        <v>19</v>
      </c>
      <c r="G161" s="36" t="s">
        <v>21</v>
      </c>
      <c r="H161" s="36">
        <v>21601</v>
      </c>
      <c r="I161" s="37" t="s">
        <v>218</v>
      </c>
      <c r="J161" s="38" t="s">
        <v>345</v>
      </c>
      <c r="K161" s="30" t="s">
        <v>346</v>
      </c>
      <c r="L161" s="30" t="s">
        <v>193</v>
      </c>
      <c r="M161" s="30" t="s">
        <v>193</v>
      </c>
      <c r="N161" s="30" t="s">
        <v>215</v>
      </c>
      <c r="O161" s="39">
        <v>15</v>
      </c>
      <c r="P161" s="40">
        <f>661.2/15</f>
        <v>44.080000000000005</v>
      </c>
      <c r="Q161" s="41" t="s">
        <v>195</v>
      </c>
      <c r="R161" s="42">
        <f t="shared" si="15"/>
        <v>661.2</v>
      </c>
      <c r="S161" s="43">
        <f t="shared" si="13"/>
        <v>661.2</v>
      </c>
    </row>
    <row r="162" spans="1:19" ht="26" x14ac:dyDescent="0.35">
      <c r="A162" s="32" t="s">
        <v>18</v>
      </c>
      <c r="B162" s="33" t="s">
        <v>479</v>
      </c>
      <c r="C162" s="33" t="s">
        <v>67</v>
      </c>
      <c r="D162" s="34" t="s">
        <v>19</v>
      </c>
      <c r="E162" s="31" t="s">
        <v>20</v>
      </c>
      <c r="F162" s="35" t="s">
        <v>19</v>
      </c>
      <c r="G162" s="36" t="s">
        <v>21</v>
      </c>
      <c r="H162" s="36">
        <v>21601</v>
      </c>
      <c r="I162" s="37" t="s">
        <v>218</v>
      </c>
      <c r="J162" s="38" t="s">
        <v>347</v>
      </c>
      <c r="K162" s="30" t="s">
        <v>348</v>
      </c>
      <c r="L162" s="30" t="s">
        <v>193</v>
      </c>
      <c r="M162" s="30" t="s">
        <v>193</v>
      </c>
      <c r="N162" s="30" t="s">
        <v>215</v>
      </c>
      <c r="O162" s="39">
        <v>9</v>
      </c>
      <c r="P162" s="40">
        <f>198.36/9</f>
        <v>22.040000000000003</v>
      </c>
      <c r="Q162" s="41" t="s">
        <v>195</v>
      </c>
      <c r="R162" s="42">
        <f t="shared" si="15"/>
        <v>198.36</v>
      </c>
      <c r="S162" s="43">
        <f t="shared" si="13"/>
        <v>198.36</v>
      </c>
    </row>
    <row r="163" spans="1:19" ht="26" x14ac:dyDescent="0.35">
      <c r="A163" s="32" t="s">
        <v>18</v>
      </c>
      <c r="B163" s="33" t="s">
        <v>479</v>
      </c>
      <c r="C163" s="33" t="s">
        <v>67</v>
      </c>
      <c r="D163" s="34" t="s">
        <v>19</v>
      </c>
      <c r="E163" s="31" t="s">
        <v>20</v>
      </c>
      <c r="F163" s="35" t="s">
        <v>19</v>
      </c>
      <c r="G163" s="36" t="s">
        <v>21</v>
      </c>
      <c r="H163" s="36">
        <v>21601</v>
      </c>
      <c r="I163" s="37" t="s">
        <v>218</v>
      </c>
      <c r="J163" s="38" t="s">
        <v>347</v>
      </c>
      <c r="K163" s="30" t="s">
        <v>348</v>
      </c>
      <c r="L163" s="30" t="s">
        <v>193</v>
      </c>
      <c r="M163" s="30" t="s">
        <v>193</v>
      </c>
      <c r="N163" s="30" t="s">
        <v>215</v>
      </c>
      <c r="O163" s="39">
        <v>1</v>
      </c>
      <c r="P163" s="40">
        <v>22.03</v>
      </c>
      <c r="Q163" s="41" t="s">
        <v>195</v>
      </c>
      <c r="R163" s="42">
        <f t="shared" si="15"/>
        <v>22.03</v>
      </c>
      <c r="S163" s="43">
        <f t="shared" si="13"/>
        <v>22.03</v>
      </c>
    </row>
    <row r="164" spans="1:19" ht="39" x14ac:dyDescent="0.35">
      <c r="A164" s="32" t="s">
        <v>18</v>
      </c>
      <c r="B164" s="33" t="s">
        <v>479</v>
      </c>
      <c r="C164" s="33" t="s">
        <v>67</v>
      </c>
      <c r="D164" s="34" t="s">
        <v>19</v>
      </c>
      <c r="E164" s="31" t="s">
        <v>20</v>
      </c>
      <c r="F164" s="35" t="s">
        <v>19</v>
      </c>
      <c r="G164" s="36" t="s">
        <v>21</v>
      </c>
      <c r="H164" s="36">
        <v>22104</v>
      </c>
      <c r="I164" s="37" t="s">
        <v>349</v>
      </c>
      <c r="J164" s="38" t="s">
        <v>33</v>
      </c>
      <c r="K164" s="30" t="s">
        <v>34</v>
      </c>
      <c r="L164" s="30" t="s">
        <v>193</v>
      </c>
      <c r="M164" s="30" t="s">
        <v>193</v>
      </c>
      <c r="N164" s="30" t="s">
        <v>217</v>
      </c>
      <c r="O164" s="39">
        <v>1</v>
      </c>
      <c r="P164" s="40">
        <v>156</v>
      </c>
      <c r="Q164" s="41" t="s">
        <v>195</v>
      </c>
      <c r="R164" s="42">
        <f>P164*O164</f>
        <v>156</v>
      </c>
      <c r="S164" s="43">
        <f t="shared" si="13"/>
        <v>156</v>
      </c>
    </row>
    <row r="165" spans="1:19" ht="39" x14ac:dyDescent="0.35">
      <c r="A165" s="32" t="s">
        <v>350</v>
      </c>
      <c r="B165" s="33" t="s">
        <v>481</v>
      </c>
      <c r="C165" s="33" t="s">
        <v>68</v>
      </c>
      <c r="D165" s="34" t="s">
        <v>19</v>
      </c>
      <c r="E165" s="31" t="s">
        <v>36</v>
      </c>
      <c r="F165" s="35" t="s">
        <v>202</v>
      </c>
      <c r="G165" s="36" t="s">
        <v>167</v>
      </c>
      <c r="H165" s="36">
        <v>22104</v>
      </c>
      <c r="I165" s="37" t="s">
        <v>349</v>
      </c>
      <c r="J165" s="38" t="s">
        <v>33</v>
      </c>
      <c r="K165" s="30" t="s">
        <v>34</v>
      </c>
      <c r="L165" s="30" t="s">
        <v>351</v>
      </c>
      <c r="M165" s="30" t="s">
        <v>351</v>
      </c>
      <c r="N165" s="30" t="s">
        <v>59</v>
      </c>
      <c r="O165" s="39">
        <v>1</v>
      </c>
      <c r="P165" s="46">
        <v>180000</v>
      </c>
      <c r="Q165" s="47" t="s">
        <v>57</v>
      </c>
      <c r="R165" s="48">
        <f t="shared" ref="R165:R168" si="16">O165*P165</f>
        <v>180000</v>
      </c>
      <c r="S165" s="48">
        <f t="shared" ref="S165:S168" si="17">O165*P165</f>
        <v>180000</v>
      </c>
    </row>
    <row r="166" spans="1:19" ht="39" x14ac:dyDescent="0.35">
      <c r="A166" s="32" t="s">
        <v>350</v>
      </c>
      <c r="B166" s="33" t="s">
        <v>481</v>
      </c>
      <c r="C166" s="33" t="s">
        <v>68</v>
      </c>
      <c r="D166" s="34" t="s">
        <v>19</v>
      </c>
      <c r="E166" s="31" t="s">
        <v>308</v>
      </c>
      <c r="F166" s="35" t="s">
        <v>309</v>
      </c>
      <c r="G166" s="36" t="s">
        <v>310</v>
      </c>
      <c r="H166" s="36">
        <v>22104</v>
      </c>
      <c r="I166" s="37" t="s">
        <v>349</v>
      </c>
      <c r="J166" s="38" t="s">
        <v>33</v>
      </c>
      <c r="K166" s="30" t="s">
        <v>34</v>
      </c>
      <c r="L166" s="30" t="s">
        <v>351</v>
      </c>
      <c r="M166" s="30" t="s">
        <v>351</v>
      </c>
      <c r="N166" s="30" t="s">
        <v>59</v>
      </c>
      <c r="O166" s="39">
        <v>1</v>
      </c>
      <c r="P166" s="46">
        <v>1540</v>
      </c>
      <c r="Q166" s="47" t="s">
        <v>57</v>
      </c>
      <c r="R166" s="48">
        <f t="shared" si="16"/>
        <v>1540</v>
      </c>
      <c r="S166" s="48">
        <f t="shared" si="17"/>
        <v>1540</v>
      </c>
    </row>
    <row r="167" spans="1:19" ht="39" x14ac:dyDescent="0.35">
      <c r="A167" s="32" t="s">
        <v>350</v>
      </c>
      <c r="B167" s="33" t="s">
        <v>481</v>
      </c>
      <c r="C167" s="33" t="s">
        <v>68</v>
      </c>
      <c r="D167" s="34" t="s">
        <v>19</v>
      </c>
      <c r="E167" s="31" t="s">
        <v>42</v>
      </c>
      <c r="F167" s="35" t="s">
        <v>226</v>
      </c>
      <c r="G167" s="36" t="s">
        <v>48</v>
      </c>
      <c r="H167" s="36">
        <v>35901</v>
      </c>
      <c r="I167" s="37" t="s">
        <v>286</v>
      </c>
      <c r="J167" s="38" t="s">
        <v>59</v>
      </c>
      <c r="K167" s="30" t="s">
        <v>352</v>
      </c>
      <c r="L167" s="30" t="s">
        <v>351</v>
      </c>
      <c r="M167" s="30" t="s">
        <v>351</v>
      </c>
      <c r="N167" s="30" t="s">
        <v>59</v>
      </c>
      <c r="O167" s="39">
        <v>1</v>
      </c>
      <c r="P167" s="46">
        <v>4524</v>
      </c>
      <c r="Q167" s="47" t="s">
        <v>57</v>
      </c>
      <c r="R167" s="48">
        <f t="shared" si="16"/>
        <v>4524</v>
      </c>
      <c r="S167" s="48">
        <f t="shared" si="17"/>
        <v>4524</v>
      </c>
    </row>
    <row r="168" spans="1:19" ht="39" x14ac:dyDescent="0.35">
      <c r="A168" s="32" t="s">
        <v>350</v>
      </c>
      <c r="B168" s="33" t="s">
        <v>481</v>
      </c>
      <c r="C168" s="33" t="s">
        <v>68</v>
      </c>
      <c r="D168" s="34" t="s">
        <v>19</v>
      </c>
      <c r="E168" s="31" t="s">
        <v>20</v>
      </c>
      <c r="F168" s="35" t="s">
        <v>19</v>
      </c>
      <c r="G168" s="36" t="s">
        <v>21</v>
      </c>
      <c r="H168" s="36">
        <v>33602</v>
      </c>
      <c r="I168" s="37" t="s">
        <v>353</v>
      </c>
      <c r="J168" s="38" t="s">
        <v>59</v>
      </c>
      <c r="K168" s="30" t="s">
        <v>354</v>
      </c>
      <c r="L168" s="30" t="s">
        <v>351</v>
      </c>
      <c r="M168" s="30" t="s">
        <v>351</v>
      </c>
      <c r="N168" s="30" t="s">
        <v>59</v>
      </c>
      <c r="O168" s="39">
        <v>1</v>
      </c>
      <c r="P168" s="49">
        <v>2610</v>
      </c>
      <c r="Q168" s="50" t="s">
        <v>57</v>
      </c>
      <c r="R168" s="51">
        <f t="shared" si="16"/>
        <v>2610</v>
      </c>
      <c r="S168" s="51">
        <f t="shared" si="17"/>
        <v>2610</v>
      </c>
    </row>
    <row r="169" spans="1:19" ht="39" x14ac:dyDescent="0.35">
      <c r="A169" s="32" t="s">
        <v>18</v>
      </c>
      <c r="B169" s="33" t="s">
        <v>480</v>
      </c>
      <c r="C169" s="33" t="s">
        <v>69</v>
      </c>
      <c r="D169" s="34" t="s">
        <v>19</v>
      </c>
      <c r="E169" s="31" t="s">
        <v>20</v>
      </c>
      <c r="F169" s="35" t="s">
        <v>19</v>
      </c>
      <c r="G169" s="36" t="s">
        <v>22</v>
      </c>
      <c r="H169" s="36" t="s">
        <v>55</v>
      </c>
      <c r="I169" s="37" t="s">
        <v>230</v>
      </c>
      <c r="J169" s="38" t="s">
        <v>200</v>
      </c>
      <c r="K169" s="30" t="s">
        <v>355</v>
      </c>
      <c r="L169" s="30" t="s">
        <v>61</v>
      </c>
      <c r="M169" s="30" t="s">
        <v>356</v>
      </c>
      <c r="N169" s="30" t="s">
        <v>30</v>
      </c>
      <c r="O169" s="39">
        <v>1</v>
      </c>
      <c r="P169" s="53">
        <v>33129.599999999999</v>
      </c>
      <c r="Q169" s="54" t="s">
        <v>357</v>
      </c>
      <c r="R169" s="55">
        <v>33129.599999999999</v>
      </c>
      <c r="S169" s="55">
        <v>33129.599999999999</v>
      </c>
    </row>
    <row r="170" spans="1:19" ht="39" x14ac:dyDescent="0.35">
      <c r="A170" s="32" t="s">
        <v>18</v>
      </c>
      <c r="B170" s="33" t="s">
        <v>480</v>
      </c>
      <c r="C170" s="33" t="s">
        <v>69</v>
      </c>
      <c r="D170" s="34" t="s">
        <v>19</v>
      </c>
      <c r="E170" s="31" t="s">
        <v>20</v>
      </c>
      <c r="F170" s="35" t="s">
        <v>19</v>
      </c>
      <c r="G170" s="36" t="s">
        <v>22</v>
      </c>
      <c r="H170" s="36" t="s">
        <v>358</v>
      </c>
      <c r="I170" s="37" t="s">
        <v>359</v>
      </c>
      <c r="J170" s="38" t="s">
        <v>200</v>
      </c>
      <c r="K170" s="30" t="s">
        <v>360</v>
      </c>
      <c r="L170" s="30" t="s">
        <v>361</v>
      </c>
      <c r="M170" s="30" t="s">
        <v>356</v>
      </c>
      <c r="N170" s="30" t="s">
        <v>30</v>
      </c>
      <c r="O170" s="39">
        <v>1</v>
      </c>
      <c r="P170" s="53">
        <v>39229.57</v>
      </c>
      <c r="Q170" s="52" t="s">
        <v>357</v>
      </c>
      <c r="R170" s="55">
        <v>39229.57</v>
      </c>
      <c r="S170" s="55">
        <f t="shared" ref="S170:S171" si="18">P170*O170</f>
        <v>39229.57</v>
      </c>
    </row>
    <row r="171" spans="1:19" ht="39" x14ac:dyDescent="0.35">
      <c r="A171" s="32" t="s">
        <v>18</v>
      </c>
      <c r="B171" s="33" t="s">
        <v>480</v>
      </c>
      <c r="C171" s="33" t="s">
        <v>69</v>
      </c>
      <c r="D171" s="34" t="s">
        <v>19</v>
      </c>
      <c r="E171" s="31" t="s">
        <v>362</v>
      </c>
      <c r="F171" s="35" t="s">
        <v>363</v>
      </c>
      <c r="G171" s="36" t="s">
        <v>364</v>
      </c>
      <c r="H171" s="36" t="s">
        <v>54</v>
      </c>
      <c r="I171" s="37" t="s">
        <v>232</v>
      </c>
      <c r="J171" s="38" t="s">
        <v>200</v>
      </c>
      <c r="K171" s="30" t="s">
        <v>365</v>
      </c>
      <c r="L171" s="30" t="s">
        <v>60</v>
      </c>
      <c r="M171" s="30" t="s">
        <v>356</v>
      </c>
      <c r="N171" s="30" t="s">
        <v>30</v>
      </c>
      <c r="O171" s="39">
        <v>1</v>
      </c>
      <c r="P171" s="53">
        <v>25385.33</v>
      </c>
      <c r="Q171" s="52" t="s">
        <v>357</v>
      </c>
      <c r="R171" s="55">
        <f t="shared" ref="R171" si="19">S171</f>
        <v>25385.33</v>
      </c>
      <c r="S171" s="55">
        <f t="shared" si="18"/>
        <v>25385.33</v>
      </c>
    </row>
    <row r="172" spans="1:19" ht="65" x14ac:dyDescent="0.35">
      <c r="A172" s="32" t="s">
        <v>18</v>
      </c>
      <c r="B172" s="33" t="s">
        <v>480</v>
      </c>
      <c r="C172" s="33" t="s">
        <v>69</v>
      </c>
      <c r="D172" s="34" t="s">
        <v>19</v>
      </c>
      <c r="E172" s="31" t="s">
        <v>36</v>
      </c>
      <c r="F172" s="35" t="s">
        <v>202</v>
      </c>
      <c r="G172" s="36" t="s">
        <v>167</v>
      </c>
      <c r="H172" s="36" t="s">
        <v>366</v>
      </c>
      <c r="I172" s="37" t="s">
        <v>367</v>
      </c>
      <c r="J172" s="38" t="s">
        <v>200</v>
      </c>
      <c r="K172" s="30" t="s">
        <v>368</v>
      </c>
      <c r="L172" s="30" t="s">
        <v>369</v>
      </c>
      <c r="M172" s="30" t="s">
        <v>356</v>
      </c>
      <c r="N172" s="30" t="s">
        <v>30</v>
      </c>
      <c r="O172" s="39">
        <v>1</v>
      </c>
      <c r="P172" s="53">
        <v>97788</v>
      </c>
      <c r="Q172" s="52" t="s">
        <v>370</v>
      </c>
      <c r="R172" s="55">
        <v>97788</v>
      </c>
      <c r="S172" s="55">
        <v>97788</v>
      </c>
    </row>
    <row r="173" spans="1:19" ht="39" x14ac:dyDescent="0.35">
      <c r="A173" s="32" t="s">
        <v>18</v>
      </c>
      <c r="B173" s="33" t="s">
        <v>480</v>
      </c>
      <c r="C173" s="33" t="s">
        <v>69</v>
      </c>
      <c r="D173" s="34" t="s">
        <v>19</v>
      </c>
      <c r="E173" s="31" t="s">
        <v>20</v>
      </c>
      <c r="F173" s="35" t="s">
        <v>19</v>
      </c>
      <c r="G173" s="36" t="s">
        <v>22</v>
      </c>
      <c r="H173" s="36" t="s">
        <v>371</v>
      </c>
      <c r="I173" s="37" t="s">
        <v>372</v>
      </c>
      <c r="J173" s="38" t="s">
        <v>200</v>
      </c>
      <c r="K173" s="30" t="s">
        <v>373</v>
      </c>
      <c r="L173" s="30">
        <v>23640</v>
      </c>
      <c r="M173" s="30" t="s">
        <v>356</v>
      </c>
      <c r="N173" s="30" t="s">
        <v>30</v>
      </c>
      <c r="O173" s="39">
        <v>1</v>
      </c>
      <c r="P173" s="53">
        <v>945</v>
      </c>
      <c r="Q173" s="54" t="s">
        <v>370</v>
      </c>
      <c r="R173" s="55">
        <f t="shared" ref="R173" si="20">S173</f>
        <v>945</v>
      </c>
      <c r="S173" s="55">
        <f t="shared" ref="S173" si="21">P173*O173</f>
        <v>945</v>
      </c>
    </row>
    <row r="174" spans="1:19" ht="52" x14ac:dyDescent="0.35">
      <c r="A174" s="32" t="s">
        <v>18</v>
      </c>
      <c r="B174" s="33" t="s">
        <v>480</v>
      </c>
      <c r="C174" s="33" t="s">
        <v>69</v>
      </c>
      <c r="D174" s="34" t="s">
        <v>19</v>
      </c>
      <c r="E174" s="31" t="s">
        <v>20</v>
      </c>
      <c r="F174" s="35" t="s">
        <v>19</v>
      </c>
      <c r="G174" s="36" t="s">
        <v>21</v>
      </c>
      <c r="H174" s="36" t="s">
        <v>374</v>
      </c>
      <c r="I174" s="37" t="s">
        <v>375</v>
      </c>
      <c r="J174" s="38" t="s">
        <v>376</v>
      </c>
      <c r="K174" s="30" t="s">
        <v>377</v>
      </c>
      <c r="L174" s="30" t="s">
        <v>351</v>
      </c>
      <c r="M174" s="30" t="s">
        <v>378</v>
      </c>
      <c r="N174" s="30" t="s">
        <v>379</v>
      </c>
      <c r="O174" s="39">
        <v>1</v>
      </c>
      <c r="P174" s="53">
        <v>1770</v>
      </c>
      <c r="Q174" s="52" t="s">
        <v>380</v>
      </c>
      <c r="R174" s="55">
        <v>1770</v>
      </c>
      <c r="S174" s="55">
        <v>1770</v>
      </c>
    </row>
    <row r="175" spans="1:19" ht="52" x14ac:dyDescent="0.35">
      <c r="A175" s="32" t="s">
        <v>18</v>
      </c>
      <c r="B175" s="33" t="s">
        <v>480</v>
      </c>
      <c r="C175" s="33" t="s">
        <v>69</v>
      </c>
      <c r="D175" s="34" t="s">
        <v>19</v>
      </c>
      <c r="E175" s="31" t="s">
        <v>20</v>
      </c>
      <c r="F175" s="35" t="s">
        <v>19</v>
      </c>
      <c r="G175" s="36" t="s">
        <v>21</v>
      </c>
      <c r="H175" s="36" t="s">
        <v>49</v>
      </c>
      <c r="I175" s="37" t="s">
        <v>196</v>
      </c>
      <c r="J175" s="38" t="s">
        <v>200</v>
      </c>
      <c r="K175" s="30" t="s">
        <v>381</v>
      </c>
      <c r="L175" s="30" t="s">
        <v>351</v>
      </c>
      <c r="M175" s="30" t="s">
        <v>37</v>
      </c>
      <c r="N175" s="30" t="s">
        <v>30</v>
      </c>
      <c r="O175" s="39">
        <v>1</v>
      </c>
      <c r="P175" s="53">
        <v>4408</v>
      </c>
      <c r="Q175" s="52" t="s">
        <v>370</v>
      </c>
      <c r="R175" s="55">
        <v>4408</v>
      </c>
      <c r="S175" s="55">
        <v>4408</v>
      </c>
    </row>
    <row r="176" spans="1:19" ht="26" x14ac:dyDescent="0.35">
      <c r="A176" s="32" t="s">
        <v>18</v>
      </c>
      <c r="B176" s="33" t="s">
        <v>480</v>
      </c>
      <c r="C176" s="33" t="s">
        <v>69</v>
      </c>
      <c r="D176" s="34" t="s">
        <v>19</v>
      </c>
      <c r="E176" s="31" t="s">
        <v>36</v>
      </c>
      <c r="F176" s="35" t="s">
        <v>202</v>
      </c>
      <c r="G176" s="36" t="s">
        <v>167</v>
      </c>
      <c r="H176" s="36" t="s">
        <v>53</v>
      </c>
      <c r="I176" s="37" t="s">
        <v>228</v>
      </c>
      <c r="J176" s="38" t="s">
        <v>200</v>
      </c>
      <c r="K176" s="30" t="s">
        <v>382</v>
      </c>
      <c r="L176" s="30" t="s">
        <v>63</v>
      </c>
      <c r="M176" s="30" t="s">
        <v>356</v>
      </c>
      <c r="N176" s="30" t="s">
        <v>30</v>
      </c>
      <c r="O176" s="39">
        <v>1</v>
      </c>
      <c r="P176" s="53">
        <v>6990.85</v>
      </c>
      <c r="Q176" s="52" t="s">
        <v>357</v>
      </c>
      <c r="R176" s="55">
        <v>6990.85</v>
      </c>
      <c r="S176" s="55">
        <v>6990.85</v>
      </c>
    </row>
    <row r="177" spans="1:19" ht="65" x14ac:dyDescent="0.35">
      <c r="A177" s="32" t="s">
        <v>18</v>
      </c>
      <c r="B177" s="33" t="s">
        <v>480</v>
      </c>
      <c r="C177" s="33" t="s">
        <v>69</v>
      </c>
      <c r="D177" s="34" t="s">
        <v>19</v>
      </c>
      <c r="E177" s="31" t="s">
        <v>20</v>
      </c>
      <c r="F177" s="35" t="s">
        <v>19</v>
      </c>
      <c r="G177" s="36" t="s">
        <v>21</v>
      </c>
      <c r="H177" s="36" t="s">
        <v>383</v>
      </c>
      <c r="I177" s="37" t="s">
        <v>384</v>
      </c>
      <c r="J177" s="38" t="s">
        <v>200</v>
      </c>
      <c r="K177" s="30" t="s">
        <v>385</v>
      </c>
      <c r="L177" s="30" t="s">
        <v>351</v>
      </c>
      <c r="M177" s="30" t="s">
        <v>356</v>
      </c>
      <c r="N177" s="30" t="s">
        <v>30</v>
      </c>
      <c r="O177" s="39">
        <v>1</v>
      </c>
      <c r="P177" s="53">
        <v>6960</v>
      </c>
      <c r="Q177" s="52" t="s">
        <v>370</v>
      </c>
      <c r="R177" s="55">
        <v>6960</v>
      </c>
      <c r="S177" s="55">
        <v>6960</v>
      </c>
    </row>
    <row r="178" spans="1:19" ht="39" x14ac:dyDescent="0.35">
      <c r="A178" s="32" t="s">
        <v>18</v>
      </c>
      <c r="B178" s="33" t="s">
        <v>480</v>
      </c>
      <c r="C178" s="33" t="s">
        <v>69</v>
      </c>
      <c r="D178" s="34" t="s">
        <v>19</v>
      </c>
      <c r="E178" s="31" t="s">
        <v>20</v>
      </c>
      <c r="F178" s="35" t="s">
        <v>19</v>
      </c>
      <c r="G178" s="36" t="s">
        <v>21</v>
      </c>
      <c r="H178" s="36" t="s">
        <v>374</v>
      </c>
      <c r="I178" s="37" t="s">
        <v>375</v>
      </c>
      <c r="J178" s="38" t="s">
        <v>386</v>
      </c>
      <c r="K178" s="30" t="s">
        <v>387</v>
      </c>
      <c r="L178" s="30" t="s">
        <v>351</v>
      </c>
      <c r="M178" s="30" t="s">
        <v>378</v>
      </c>
      <c r="N178" s="30" t="s">
        <v>30</v>
      </c>
      <c r="O178" s="39">
        <v>1</v>
      </c>
      <c r="P178" s="53">
        <v>4988</v>
      </c>
      <c r="Q178" s="54" t="s">
        <v>380</v>
      </c>
      <c r="R178" s="55">
        <v>4988</v>
      </c>
      <c r="S178" s="55">
        <v>4988</v>
      </c>
    </row>
    <row r="179" spans="1:19" ht="78" x14ac:dyDescent="0.35">
      <c r="A179" s="32" t="s">
        <v>18</v>
      </c>
      <c r="B179" s="33" t="s">
        <v>480</v>
      </c>
      <c r="C179" s="33" t="s">
        <v>69</v>
      </c>
      <c r="D179" s="34" t="s">
        <v>19</v>
      </c>
      <c r="E179" s="31" t="s">
        <v>42</v>
      </c>
      <c r="F179" s="35" t="s">
        <v>226</v>
      </c>
      <c r="G179" s="36" t="s">
        <v>48</v>
      </c>
      <c r="H179" s="36">
        <v>26102</v>
      </c>
      <c r="I179" s="37" t="s">
        <v>225</v>
      </c>
      <c r="J179" s="38" t="s">
        <v>200</v>
      </c>
      <c r="K179" s="30" t="s">
        <v>388</v>
      </c>
      <c r="L179" s="30" t="s">
        <v>58</v>
      </c>
      <c r="M179" s="30" t="s">
        <v>356</v>
      </c>
      <c r="N179" s="30" t="s">
        <v>217</v>
      </c>
      <c r="O179" s="39">
        <v>1</v>
      </c>
      <c r="P179" s="56">
        <v>3929.66</v>
      </c>
      <c r="Q179" s="54" t="s">
        <v>389</v>
      </c>
      <c r="R179" s="55">
        <f t="shared" ref="R179:R180" si="22">S179</f>
        <v>3929.66</v>
      </c>
      <c r="S179" s="55">
        <f t="shared" ref="S179:S180" si="23">P179*O179</f>
        <v>3929.66</v>
      </c>
    </row>
    <row r="180" spans="1:19" ht="26" x14ac:dyDescent="0.35">
      <c r="A180" s="32" t="s">
        <v>18</v>
      </c>
      <c r="B180" s="33" t="s">
        <v>480</v>
      </c>
      <c r="C180" s="33" t="s">
        <v>69</v>
      </c>
      <c r="D180" s="34" t="s">
        <v>19</v>
      </c>
      <c r="E180" s="31" t="s">
        <v>20</v>
      </c>
      <c r="F180" s="35" t="s">
        <v>19</v>
      </c>
      <c r="G180" s="36" t="s">
        <v>21</v>
      </c>
      <c r="H180" s="36">
        <v>33901</v>
      </c>
      <c r="I180" s="37" t="s">
        <v>390</v>
      </c>
      <c r="J180" s="38" t="s">
        <v>200</v>
      </c>
      <c r="K180" s="30" t="s">
        <v>391</v>
      </c>
      <c r="L180" s="30" t="s">
        <v>58</v>
      </c>
      <c r="M180" s="30" t="s">
        <v>356</v>
      </c>
      <c r="N180" s="30" t="s">
        <v>217</v>
      </c>
      <c r="O180" s="39">
        <v>1</v>
      </c>
      <c r="P180" s="56">
        <v>31.66</v>
      </c>
      <c r="Q180" s="54" t="s">
        <v>389</v>
      </c>
      <c r="R180" s="55">
        <f t="shared" si="22"/>
        <v>31.66</v>
      </c>
      <c r="S180" s="55">
        <f t="shared" si="23"/>
        <v>31.66</v>
      </c>
    </row>
    <row r="181" spans="1:19" ht="39" x14ac:dyDescent="0.35">
      <c r="A181" s="32" t="s">
        <v>18</v>
      </c>
      <c r="B181" s="33" t="s">
        <v>480</v>
      </c>
      <c r="C181" s="33" t="s">
        <v>69</v>
      </c>
      <c r="D181" s="34" t="s">
        <v>19</v>
      </c>
      <c r="E181" s="31" t="s">
        <v>42</v>
      </c>
      <c r="F181" s="35" t="s">
        <v>226</v>
      </c>
      <c r="G181" s="36" t="s">
        <v>48</v>
      </c>
      <c r="H181" s="36" t="s">
        <v>49</v>
      </c>
      <c r="I181" s="37" t="s">
        <v>196</v>
      </c>
      <c r="J181" s="38" t="s">
        <v>200</v>
      </c>
      <c r="K181" s="30" t="s">
        <v>392</v>
      </c>
      <c r="L181" s="30" t="s">
        <v>351</v>
      </c>
      <c r="M181" s="30" t="s">
        <v>356</v>
      </c>
      <c r="N181" s="30" t="s">
        <v>30</v>
      </c>
      <c r="O181" s="39">
        <v>1</v>
      </c>
      <c r="P181" s="53">
        <v>1102</v>
      </c>
      <c r="Q181" s="54" t="s">
        <v>370</v>
      </c>
      <c r="R181" s="55">
        <v>1102</v>
      </c>
      <c r="S181" s="55">
        <v>1102</v>
      </c>
    </row>
    <row r="182" spans="1:19" ht="26" x14ac:dyDescent="0.35">
      <c r="A182" s="32" t="s">
        <v>18</v>
      </c>
      <c r="B182" s="33" t="s">
        <v>480</v>
      </c>
      <c r="C182" s="33" t="s">
        <v>69</v>
      </c>
      <c r="D182" s="34" t="s">
        <v>19</v>
      </c>
      <c r="E182" s="31" t="s">
        <v>20</v>
      </c>
      <c r="F182" s="35" t="s">
        <v>19</v>
      </c>
      <c r="G182" s="36" t="s">
        <v>21</v>
      </c>
      <c r="H182" s="36" t="s">
        <v>393</v>
      </c>
      <c r="I182" s="37" t="s">
        <v>394</v>
      </c>
      <c r="J182" s="38" t="s">
        <v>395</v>
      </c>
      <c r="K182" s="30" t="s">
        <v>396</v>
      </c>
      <c r="L182" s="30" t="s">
        <v>351</v>
      </c>
      <c r="M182" s="30" t="s">
        <v>351</v>
      </c>
      <c r="N182" s="30" t="s">
        <v>397</v>
      </c>
      <c r="O182" s="39">
        <v>20</v>
      </c>
      <c r="P182" s="53">
        <v>67</v>
      </c>
      <c r="Q182" s="54" t="s">
        <v>380</v>
      </c>
      <c r="R182" s="55">
        <f t="shared" ref="R182:R188" si="24">S182</f>
        <v>1340</v>
      </c>
      <c r="S182" s="55">
        <f t="shared" ref="S182:S188" si="25">P182*O182</f>
        <v>1340</v>
      </c>
    </row>
    <row r="183" spans="1:19" ht="26" x14ac:dyDescent="0.35">
      <c r="A183" s="32" t="s">
        <v>18</v>
      </c>
      <c r="B183" s="33" t="s">
        <v>480</v>
      </c>
      <c r="C183" s="33" t="s">
        <v>69</v>
      </c>
      <c r="D183" s="34" t="s">
        <v>19</v>
      </c>
      <c r="E183" s="31" t="s">
        <v>20</v>
      </c>
      <c r="F183" s="35" t="s">
        <v>19</v>
      </c>
      <c r="G183" s="36" t="s">
        <v>21</v>
      </c>
      <c r="H183" s="36" t="s">
        <v>393</v>
      </c>
      <c r="I183" s="37" t="s">
        <v>394</v>
      </c>
      <c r="J183" s="38" t="s">
        <v>398</v>
      </c>
      <c r="K183" s="30" t="s">
        <v>399</v>
      </c>
      <c r="L183" s="30" t="s">
        <v>351</v>
      </c>
      <c r="M183" s="30" t="s">
        <v>351</v>
      </c>
      <c r="N183" s="30" t="s">
        <v>400</v>
      </c>
      <c r="O183" s="39">
        <v>20</v>
      </c>
      <c r="P183" s="53">
        <v>39</v>
      </c>
      <c r="Q183" s="52" t="s">
        <v>380</v>
      </c>
      <c r="R183" s="55">
        <f t="shared" si="24"/>
        <v>780</v>
      </c>
      <c r="S183" s="55">
        <f t="shared" si="25"/>
        <v>780</v>
      </c>
    </row>
    <row r="184" spans="1:19" ht="26" x14ac:dyDescent="0.35">
      <c r="A184" s="32" t="s">
        <v>18</v>
      </c>
      <c r="B184" s="33" t="s">
        <v>480</v>
      </c>
      <c r="C184" s="33" t="s">
        <v>69</v>
      </c>
      <c r="D184" s="34" t="s">
        <v>19</v>
      </c>
      <c r="E184" s="31" t="s">
        <v>20</v>
      </c>
      <c r="F184" s="35" t="s">
        <v>19</v>
      </c>
      <c r="G184" s="36" t="s">
        <v>21</v>
      </c>
      <c r="H184" s="36" t="s">
        <v>393</v>
      </c>
      <c r="I184" s="37" t="s">
        <v>394</v>
      </c>
      <c r="J184" s="38" t="s">
        <v>401</v>
      </c>
      <c r="K184" s="30" t="s">
        <v>402</v>
      </c>
      <c r="L184" s="30" t="s">
        <v>351</v>
      </c>
      <c r="M184" s="30" t="s">
        <v>351</v>
      </c>
      <c r="N184" s="30" t="s">
        <v>397</v>
      </c>
      <c r="O184" s="39">
        <v>2</v>
      </c>
      <c r="P184" s="53">
        <v>379</v>
      </c>
      <c r="Q184" s="52" t="s">
        <v>380</v>
      </c>
      <c r="R184" s="55">
        <f t="shared" si="24"/>
        <v>758</v>
      </c>
      <c r="S184" s="55">
        <f t="shared" si="25"/>
        <v>758</v>
      </c>
    </row>
    <row r="185" spans="1:19" ht="26" x14ac:dyDescent="0.35">
      <c r="A185" s="32" t="s">
        <v>18</v>
      </c>
      <c r="B185" s="33" t="s">
        <v>480</v>
      </c>
      <c r="C185" s="33" t="s">
        <v>69</v>
      </c>
      <c r="D185" s="34" t="s">
        <v>19</v>
      </c>
      <c r="E185" s="31" t="s">
        <v>20</v>
      </c>
      <c r="F185" s="35" t="s">
        <v>19</v>
      </c>
      <c r="G185" s="36" t="s">
        <v>21</v>
      </c>
      <c r="H185" s="36" t="s">
        <v>393</v>
      </c>
      <c r="I185" s="37" t="s">
        <v>394</v>
      </c>
      <c r="J185" s="38" t="s">
        <v>403</v>
      </c>
      <c r="K185" s="30" t="s">
        <v>404</v>
      </c>
      <c r="L185" s="30" t="s">
        <v>351</v>
      </c>
      <c r="M185" s="30" t="s">
        <v>351</v>
      </c>
      <c r="N185" s="30" t="s">
        <v>397</v>
      </c>
      <c r="O185" s="39">
        <v>2</v>
      </c>
      <c r="P185" s="53">
        <v>26</v>
      </c>
      <c r="Q185" s="52" t="s">
        <v>380</v>
      </c>
      <c r="R185" s="55">
        <f t="shared" si="24"/>
        <v>52</v>
      </c>
      <c r="S185" s="55">
        <f t="shared" si="25"/>
        <v>52</v>
      </c>
    </row>
    <row r="186" spans="1:19" ht="26" x14ac:dyDescent="0.35">
      <c r="A186" s="32" t="s">
        <v>18</v>
      </c>
      <c r="B186" s="33" t="s">
        <v>480</v>
      </c>
      <c r="C186" s="33" t="s">
        <v>69</v>
      </c>
      <c r="D186" s="34" t="s">
        <v>19</v>
      </c>
      <c r="E186" s="31" t="s">
        <v>20</v>
      </c>
      <c r="F186" s="35" t="s">
        <v>19</v>
      </c>
      <c r="G186" s="36" t="s">
        <v>21</v>
      </c>
      <c r="H186" s="36" t="s">
        <v>393</v>
      </c>
      <c r="I186" s="37" t="s">
        <v>394</v>
      </c>
      <c r="J186" s="38" t="s">
        <v>405</v>
      </c>
      <c r="K186" s="30" t="s">
        <v>406</v>
      </c>
      <c r="L186" s="30" t="s">
        <v>351</v>
      </c>
      <c r="M186" s="30" t="s">
        <v>351</v>
      </c>
      <c r="N186" s="30" t="s">
        <v>400</v>
      </c>
      <c r="O186" s="39">
        <v>3</v>
      </c>
      <c r="P186" s="53">
        <v>39</v>
      </c>
      <c r="Q186" s="52" t="s">
        <v>380</v>
      </c>
      <c r="R186" s="55">
        <f t="shared" si="24"/>
        <v>117</v>
      </c>
      <c r="S186" s="55">
        <f t="shared" si="25"/>
        <v>117</v>
      </c>
    </row>
    <row r="187" spans="1:19" ht="26" x14ac:dyDescent="0.35">
      <c r="A187" s="32" t="s">
        <v>18</v>
      </c>
      <c r="B187" s="33" t="s">
        <v>480</v>
      </c>
      <c r="C187" s="33" t="s">
        <v>69</v>
      </c>
      <c r="D187" s="34" t="s">
        <v>19</v>
      </c>
      <c r="E187" s="31" t="s">
        <v>20</v>
      </c>
      <c r="F187" s="35" t="s">
        <v>19</v>
      </c>
      <c r="G187" s="36" t="s">
        <v>21</v>
      </c>
      <c r="H187" s="36" t="s">
        <v>407</v>
      </c>
      <c r="I187" s="37" t="s">
        <v>408</v>
      </c>
      <c r="J187" s="38" t="s">
        <v>409</v>
      </c>
      <c r="K187" s="30" t="s">
        <v>410</v>
      </c>
      <c r="L187" s="30" t="s">
        <v>351</v>
      </c>
      <c r="M187" s="30" t="s">
        <v>351</v>
      </c>
      <c r="N187" s="30" t="s">
        <v>397</v>
      </c>
      <c r="O187" s="39">
        <v>6</v>
      </c>
      <c r="P187" s="53">
        <v>135</v>
      </c>
      <c r="Q187" s="54" t="s">
        <v>380</v>
      </c>
      <c r="R187" s="53">
        <f t="shared" si="24"/>
        <v>810</v>
      </c>
      <c r="S187" s="55">
        <f t="shared" si="25"/>
        <v>810</v>
      </c>
    </row>
    <row r="188" spans="1:19" ht="26" x14ac:dyDescent="0.35">
      <c r="A188" s="32" t="s">
        <v>18</v>
      </c>
      <c r="B188" s="33" t="s">
        <v>480</v>
      </c>
      <c r="C188" s="33" t="s">
        <v>69</v>
      </c>
      <c r="D188" s="34" t="s">
        <v>19</v>
      </c>
      <c r="E188" s="31" t="s">
        <v>42</v>
      </c>
      <c r="F188" s="35" t="s">
        <v>226</v>
      </c>
      <c r="G188" s="36" t="s">
        <v>48</v>
      </c>
      <c r="H188" s="36" t="s">
        <v>411</v>
      </c>
      <c r="I188" s="37" t="s">
        <v>218</v>
      </c>
      <c r="J188" s="38" t="s">
        <v>412</v>
      </c>
      <c r="K188" s="30" t="s">
        <v>413</v>
      </c>
      <c r="L188" s="30" t="s">
        <v>351</v>
      </c>
      <c r="M188" s="30" t="s">
        <v>351</v>
      </c>
      <c r="N188" s="30" t="s">
        <v>379</v>
      </c>
      <c r="O188" s="39">
        <v>1</v>
      </c>
      <c r="P188" s="53">
        <v>265</v>
      </c>
      <c r="Q188" s="54" t="s">
        <v>380</v>
      </c>
      <c r="R188" s="53">
        <f t="shared" si="24"/>
        <v>265</v>
      </c>
      <c r="S188" s="55">
        <f t="shared" si="25"/>
        <v>265</v>
      </c>
    </row>
    <row r="189" spans="1:19" ht="39" x14ac:dyDescent="0.35">
      <c r="A189" s="32" t="s">
        <v>350</v>
      </c>
      <c r="B189" s="33" t="s">
        <v>414</v>
      </c>
      <c r="C189" s="33" t="s">
        <v>70</v>
      </c>
      <c r="D189" s="34" t="s">
        <v>19</v>
      </c>
      <c r="E189" s="31" t="s">
        <v>20</v>
      </c>
      <c r="F189" s="35" t="s">
        <v>19</v>
      </c>
      <c r="G189" s="36" t="s">
        <v>21</v>
      </c>
      <c r="H189" s="36">
        <v>21101</v>
      </c>
      <c r="I189" s="37" t="s">
        <v>73</v>
      </c>
      <c r="J189" s="38" t="s">
        <v>98</v>
      </c>
      <c r="K189" s="30" t="s">
        <v>129</v>
      </c>
      <c r="L189" s="30" t="s">
        <v>415</v>
      </c>
      <c r="M189" s="30" t="s">
        <v>415</v>
      </c>
      <c r="N189" s="30" t="s">
        <v>215</v>
      </c>
      <c r="O189" s="39">
        <v>40</v>
      </c>
      <c r="P189" s="57">
        <f>+S189/O189</f>
        <v>49.5</v>
      </c>
      <c r="Q189" s="58" t="s">
        <v>416</v>
      </c>
      <c r="R189" s="59">
        <v>1980</v>
      </c>
      <c r="S189" s="59">
        <v>1980</v>
      </c>
    </row>
    <row r="190" spans="1:19" ht="39" x14ac:dyDescent="0.35">
      <c r="A190" s="32" t="s">
        <v>350</v>
      </c>
      <c r="B190" s="33" t="s">
        <v>414</v>
      </c>
      <c r="C190" s="33" t="s">
        <v>70</v>
      </c>
      <c r="D190" s="34" t="s">
        <v>19</v>
      </c>
      <c r="E190" s="31" t="s">
        <v>20</v>
      </c>
      <c r="F190" s="35" t="s">
        <v>19</v>
      </c>
      <c r="G190" s="36" t="s">
        <v>21</v>
      </c>
      <c r="H190" s="36">
        <v>21601</v>
      </c>
      <c r="I190" s="37" t="s">
        <v>417</v>
      </c>
      <c r="J190" s="38" t="s">
        <v>334</v>
      </c>
      <c r="K190" s="30" t="s">
        <v>335</v>
      </c>
      <c r="L190" s="30" t="s">
        <v>415</v>
      </c>
      <c r="M190" s="30" t="s">
        <v>415</v>
      </c>
      <c r="N190" s="30" t="s">
        <v>138</v>
      </c>
      <c r="O190" s="39">
        <v>9</v>
      </c>
      <c r="P190" s="57">
        <f t="shared" ref="P190:P201" si="26">+S190/O190</f>
        <v>408</v>
      </c>
      <c r="Q190" s="58" t="s">
        <v>416</v>
      </c>
      <c r="R190" s="59">
        <v>3672</v>
      </c>
      <c r="S190" s="59">
        <v>3672</v>
      </c>
    </row>
    <row r="191" spans="1:19" ht="39" x14ac:dyDescent="0.35">
      <c r="A191" s="32" t="s">
        <v>350</v>
      </c>
      <c r="B191" s="33" t="s">
        <v>414</v>
      </c>
      <c r="C191" s="33" t="s">
        <v>70</v>
      </c>
      <c r="D191" s="34" t="s">
        <v>19</v>
      </c>
      <c r="E191" s="31" t="s">
        <v>20</v>
      </c>
      <c r="F191" s="35" t="s">
        <v>19</v>
      </c>
      <c r="G191" s="36" t="s">
        <v>21</v>
      </c>
      <c r="H191" s="36">
        <v>21601</v>
      </c>
      <c r="I191" s="37" t="s">
        <v>417</v>
      </c>
      <c r="J191" s="38" t="s">
        <v>418</v>
      </c>
      <c r="K191" s="30" t="s">
        <v>328</v>
      </c>
      <c r="L191" s="30" t="s">
        <v>415</v>
      </c>
      <c r="M191" s="30" t="s">
        <v>415</v>
      </c>
      <c r="N191" s="30" t="s">
        <v>138</v>
      </c>
      <c r="O191" s="39">
        <v>3</v>
      </c>
      <c r="P191" s="57">
        <f t="shared" si="26"/>
        <v>198</v>
      </c>
      <c r="Q191" s="58" t="s">
        <v>416</v>
      </c>
      <c r="R191" s="59">
        <v>594</v>
      </c>
      <c r="S191" s="59">
        <v>594</v>
      </c>
    </row>
    <row r="192" spans="1:19" ht="39" x14ac:dyDescent="0.35">
      <c r="A192" s="32" t="s">
        <v>350</v>
      </c>
      <c r="B192" s="33" t="s">
        <v>414</v>
      </c>
      <c r="C192" s="33" t="s">
        <v>70</v>
      </c>
      <c r="D192" s="34" t="s">
        <v>19</v>
      </c>
      <c r="E192" s="31" t="s">
        <v>20</v>
      </c>
      <c r="F192" s="35" t="s">
        <v>19</v>
      </c>
      <c r="G192" s="36" t="s">
        <v>21</v>
      </c>
      <c r="H192" s="36">
        <v>21601</v>
      </c>
      <c r="I192" s="37" t="s">
        <v>417</v>
      </c>
      <c r="J192" s="38" t="s">
        <v>419</v>
      </c>
      <c r="K192" s="30" t="s">
        <v>420</v>
      </c>
      <c r="L192" s="30" t="s">
        <v>415</v>
      </c>
      <c r="M192" s="30" t="s">
        <v>415</v>
      </c>
      <c r="N192" s="30" t="s">
        <v>138</v>
      </c>
      <c r="O192" s="39">
        <v>3</v>
      </c>
      <c r="P192" s="57">
        <f t="shared" si="26"/>
        <v>420</v>
      </c>
      <c r="Q192" s="58" t="s">
        <v>416</v>
      </c>
      <c r="R192" s="59">
        <v>1260</v>
      </c>
      <c r="S192" s="59">
        <v>1260</v>
      </c>
    </row>
    <row r="193" spans="1:19" ht="39" x14ac:dyDescent="0.35">
      <c r="A193" s="32" t="s">
        <v>350</v>
      </c>
      <c r="B193" s="33" t="s">
        <v>414</v>
      </c>
      <c r="C193" s="33" t="s">
        <v>70</v>
      </c>
      <c r="D193" s="34" t="s">
        <v>19</v>
      </c>
      <c r="E193" s="31" t="s">
        <v>20</v>
      </c>
      <c r="F193" s="35" t="s">
        <v>19</v>
      </c>
      <c r="G193" s="36" t="s">
        <v>21</v>
      </c>
      <c r="H193" s="36">
        <v>21601</v>
      </c>
      <c r="I193" s="37" t="s">
        <v>417</v>
      </c>
      <c r="J193" s="38" t="s">
        <v>345</v>
      </c>
      <c r="K193" s="30" t="s">
        <v>346</v>
      </c>
      <c r="L193" s="30" t="s">
        <v>415</v>
      </c>
      <c r="M193" s="30" t="s">
        <v>415</v>
      </c>
      <c r="N193" s="30" t="s">
        <v>215</v>
      </c>
      <c r="O193" s="39">
        <v>8</v>
      </c>
      <c r="P193" s="57">
        <f t="shared" si="26"/>
        <v>40</v>
      </c>
      <c r="Q193" s="58" t="s">
        <v>416</v>
      </c>
      <c r="R193" s="59">
        <v>320</v>
      </c>
      <c r="S193" s="59">
        <v>320</v>
      </c>
    </row>
    <row r="194" spans="1:19" ht="39" x14ac:dyDescent="0.35">
      <c r="A194" s="32" t="s">
        <v>350</v>
      </c>
      <c r="B194" s="33" t="s">
        <v>414</v>
      </c>
      <c r="C194" s="33" t="s">
        <v>70</v>
      </c>
      <c r="D194" s="34" t="s">
        <v>19</v>
      </c>
      <c r="E194" s="31" t="s">
        <v>20</v>
      </c>
      <c r="F194" s="35" t="s">
        <v>19</v>
      </c>
      <c r="G194" s="36" t="s">
        <v>21</v>
      </c>
      <c r="H194" s="36">
        <v>21601</v>
      </c>
      <c r="I194" s="37" t="s">
        <v>417</v>
      </c>
      <c r="J194" s="38" t="s">
        <v>421</v>
      </c>
      <c r="K194" s="30" t="s">
        <v>337</v>
      </c>
      <c r="L194" s="30" t="s">
        <v>415</v>
      </c>
      <c r="M194" s="30" t="s">
        <v>415</v>
      </c>
      <c r="N194" s="30" t="s">
        <v>138</v>
      </c>
      <c r="O194" s="39">
        <v>7</v>
      </c>
      <c r="P194" s="57">
        <f t="shared" si="26"/>
        <v>300</v>
      </c>
      <c r="Q194" s="58" t="s">
        <v>416</v>
      </c>
      <c r="R194" s="59">
        <v>2100</v>
      </c>
      <c r="S194" s="59">
        <v>2100</v>
      </c>
    </row>
    <row r="195" spans="1:19" ht="39" x14ac:dyDescent="0.35">
      <c r="A195" s="32" t="s">
        <v>350</v>
      </c>
      <c r="B195" s="33" t="s">
        <v>414</v>
      </c>
      <c r="C195" s="33" t="s">
        <v>70</v>
      </c>
      <c r="D195" s="34" t="s">
        <v>19</v>
      </c>
      <c r="E195" s="31" t="s">
        <v>20</v>
      </c>
      <c r="F195" s="35" t="s">
        <v>19</v>
      </c>
      <c r="G195" s="36" t="s">
        <v>21</v>
      </c>
      <c r="H195" s="36">
        <v>21601</v>
      </c>
      <c r="I195" s="37" t="s">
        <v>417</v>
      </c>
      <c r="J195" s="38" t="s">
        <v>422</v>
      </c>
      <c r="K195" s="30" t="s">
        <v>423</v>
      </c>
      <c r="L195" s="30" t="s">
        <v>415</v>
      </c>
      <c r="M195" s="30" t="s">
        <v>415</v>
      </c>
      <c r="N195" s="30" t="s">
        <v>424</v>
      </c>
      <c r="O195" s="39">
        <v>1</v>
      </c>
      <c r="P195" s="57">
        <f t="shared" si="26"/>
        <v>150</v>
      </c>
      <c r="Q195" s="58" t="s">
        <v>416</v>
      </c>
      <c r="R195" s="59">
        <v>150</v>
      </c>
      <c r="S195" s="59">
        <v>150</v>
      </c>
    </row>
    <row r="196" spans="1:19" ht="39" x14ac:dyDescent="0.35">
      <c r="A196" s="32" t="s">
        <v>350</v>
      </c>
      <c r="B196" s="33" t="s">
        <v>414</v>
      </c>
      <c r="C196" s="33" t="s">
        <v>70</v>
      </c>
      <c r="D196" s="34" t="s">
        <v>19</v>
      </c>
      <c r="E196" s="31" t="s">
        <v>20</v>
      </c>
      <c r="F196" s="35" t="s">
        <v>19</v>
      </c>
      <c r="G196" s="36" t="s">
        <v>21</v>
      </c>
      <c r="H196" s="36">
        <v>21601</v>
      </c>
      <c r="I196" s="37" t="s">
        <v>417</v>
      </c>
      <c r="J196" s="38" t="s">
        <v>425</v>
      </c>
      <c r="K196" s="30" t="s">
        <v>426</v>
      </c>
      <c r="L196" s="30" t="s">
        <v>415</v>
      </c>
      <c r="M196" s="30" t="s">
        <v>415</v>
      </c>
      <c r="N196" s="30" t="s">
        <v>424</v>
      </c>
      <c r="O196" s="39">
        <v>2</v>
      </c>
      <c r="P196" s="57">
        <f t="shared" si="26"/>
        <v>40</v>
      </c>
      <c r="Q196" s="58" t="s">
        <v>416</v>
      </c>
      <c r="R196" s="59">
        <v>80</v>
      </c>
      <c r="S196" s="59">
        <v>80</v>
      </c>
    </row>
    <row r="197" spans="1:19" ht="39" x14ac:dyDescent="0.35">
      <c r="A197" s="32" t="s">
        <v>350</v>
      </c>
      <c r="B197" s="33" t="s">
        <v>414</v>
      </c>
      <c r="C197" s="33" t="s">
        <v>70</v>
      </c>
      <c r="D197" s="34" t="s">
        <v>19</v>
      </c>
      <c r="E197" s="31" t="s">
        <v>20</v>
      </c>
      <c r="F197" s="35" t="s">
        <v>19</v>
      </c>
      <c r="G197" s="36" t="s">
        <v>21</v>
      </c>
      <c r="H197" s="36">
        <v>21601</v>
      </c>
      <c r="I197" s="37" t="s">
        <v>417</v>
      </c>
      <c r="J197" s="38" t="s">
        <v>427</v>
      </c>
      <c r="K197" s="30" t="s">
        <v>428</v>
      </c>
      <c r="L197" s="30" t="s">
        <v>415</v>
      </c>
      <c r="M197" s="30" t="s">
        <v>415</v>
      </c>
      <c r="N197" s="30" t="s">
        <v>424</v>
      </c>
      <c r="O197" s="39">
        <v>1</v>
      </c>
      <c r="P197" s="57">
        <f t="shared" si="26"/>
        <v>35</v>
      </c>
      <c r="Q197" s="58" t="s">
        <v>416</v>
      </c>
      <c r="R197" s="59">
        <v>35</v>
      </c>
      <c r="S197" s="59">
        <v>35</v>
      </c>
    </row>
    <row r="198" spans="1:19" ht="39" x14ac:dyDescent="0.35">
      <c r="A198" s="32" t="s">
        <v>350</v>
      </c>
      <c r="B198" s="33" t="s">
        <v>414</v>
      </c>
      <c r="C198" s="33" t="s">
        <v>70</v>
      </c>
      <c r="D198" s="34" t="s">
        <v>19</v>
      </c>
      <c r="E198" s="31" t="s">
        <v>20</v>
      </c>
      <c r="F198" s="35" t="s">
        <v>19</v>
      </c>
      <c r="G198" s="36" t="s">
        <v>21</v>
      </c>
      <c r="H198" s="36">
        <v>21601</v>
      </c>
      <c r="I198" s="37" t="s">
        <v>417</v>
      </c>
      <c r="J198" s="38" t="s">
        <v>429</v>
      </c>
      <c r="K198" s="30" t="s">
        <v>430</v>
      </c>
      <c r="L198" s="30" t="s">
        <v>415</v>
      </c>
      <c r="M198" s="30" t="s">
        <v>415</v>
      </c>
      <c r="N198" s="30" t="s">
        <v>215</v>
      </c>
      <c r="O198" s="39">
        <v>1</v>
      </c>
      <c r="P198" s="57">
        <f t="shared" si="26"/>
        <v>48</v>
      </c>
      <c r="Q198" s="58" t="s">
        <v>416</v>
      </c>
      <c r="R198" s="59">
        <v>48</v>
      </c>
      <c r="S198" s="59">
        <v>48</v>
      </c>
    </row>
    <row r="199" spans="1:19" ht="39" x14ac:dyDescent="0.35">
      <c r="A199" s="32" t="s">
        <v>350</v>
      </c>
      <c r="B199" s="33" t="s">
        <v>414</v>
      </c>
      <c r="C199" s="33" t="s">
        <v>70</v>
      </c>
      <c r="D199" s="34" t="s">
        <v>19</v>
      </c>
      <c r="E199" s="31" t="s">
        <v>20</v>
      </c>
      <c r="F199" s="35" t="s">
        <v>19</v>
      </c>
      <c r="G199" s="36" t="s">
        <v>21</v>
      </c>
      <c r="H199" s="36">
        <v>21601</v>
      </c>
      <c r="I199" s="37" t="s">
        <v>417</v>
      </c>
      <c r="J199" s="38" t="s">
        <v>431</v>
      </c>
      <c r="K199" s="30" t="s">
        <v>432</v>
      </c>
      <c r="L199" s="30" t="s">
        <v>415</v>
      </c>
      <c r="M199" s="30" t="s">
        <v>415</v>
      </c>
      <c r="N199" s="30" t="s">
        <v>215</v>
      </c>
      <c r="O199" s="39">
        <v>1</v>
      </c>
      <c r="P199" s="57">
        <f t="shared" si="26"/>
        <v>150</v>
      </c>
      <c r="Q199" s="58" t="s">
        <v>416</v>
      </c>
      <c r="R199" s="59">
        <v>150</v>
      </c>
      <c r="S199" s="59">
        <v>150</v>
      </c>
    </row>
    <row r="200" spans="1:19" ht="39" x14ac:dyDescent="0.35">
      <c r="A200" s="32" t="s">
        <v>350</v>
      </c>
      <c r="B200" s="33" t="s">
        <v>414</v>
      </c>
      <c r="C200" s="33" t="s">
        <v>70</v>
      </c>
      <c r="D200" s="34" t="s">
        <v>19</v>
      </c>
      <c r="E200" s="31" t="s">
        <v>20</v>
      </c>
      <c r="F200" s="35" t="s">
        <v>19</v>
      </c>
      <c r="G200" s="36" t="s">
        <v>21</v>
      </c>
      <c r="H200" s="36">
        <v>21601</v>
      </c>
      <c r="I200" s="37" t="s">
        <v>417</v>
      </c>
      <c r="J200" s="38" t="s">
        <v>433</v>
      </c>
      <c r="K200" s="30" t="s">
        <v>434</v>
      </c>
      <c r="L200" s="30" t="s">
        <v>415</v>
      </c>
      <c r="M200" s="30" t="s">
        <v>415</v>
      </c>
      <c r="N200" s="30" t="s">
        <v>215</v>
      </c>
      <c r="O200" s="39">
        <v>2</v>
      </c>
      <c r="P200" s="57">
        <f t="shared" si="26"/>
        <v>50</v>
      </c>
      <c r="Q200" s="58" t="s">
        <v>416</v>
      </c>
      <c r="R200" s="59">
        <v>100</v>
      </c>
      <c r="S200" s="59">
        <v>100</v>
      </c>
    </row>
    <row r="201" spans="1:19" ht="104" x14ac:dyDescent="0.35">
      <c r="A201" s="32" t="s">
        <v>350</v>
      </c>
      <c r="B201" s="33" t="s">
        <v>414</v>
      </c>
      <c r="C201" s="33" t="s">
        <v>70</v>
      </c>
      <c r="D201" s="34" t="s">
        <v>19</v>
      </c>
      <c r="E201" s="31" t="s">
        <v>42</v>
      </c>
      <c r="F201" s="35" t="s">
        <v>226</v>
      </c>
      <c r="G201" s="36" t="s">
        <v>48</v>
      </c>
      <c r="H201" s="36">
        <v>26102</v>
      </c>
      <c r="I201" s="37" t="s">
        <v>435</v>
      </c>
      <c r="J201" s="38" t="s">
        <v>28</v>
      </c>
      <c r="K201" s="30" t="s">
        <v>26</v>
      </c>
      <c r="L201" s="30" t="s">
        <v>58</v>
      </c>
      <c r="M201" s="30" t="s">
        <v>356</v>
      </c>
      <c r="N201" s="30" t="s">
        <v>31</v>
      </c>
      <c r="O201" s="39">
        <v>8576</v>
      </c>
      <c r="P201" s="57">
        <f t="shared" si="26"/>
        <v>1</v>
      </c>
      <c r="Q201" s="58" t="s">
        <v>416</v>
      </c>
      <c r="R201" s="59">
        <v>8576</v>
      </c>
      <c r="S201" s="59">
        <v>8576</v>
      </c>
    </row>
    <row r="202" spans="1:19" ht="39" x14ac:dyDescent="0.35">
      <c r="A202" s="32" t="s">
        <v>350</v>
      </c>
      <c r="B202" s="33" t="s">
        <v>414</v>
      </c>
      <c r="C202" s="33" t="s">
        <v>70</v>
      </c>
      <c r="D202" s="34" t="s">
        <v>19</v>
      </c>
      <c r="E202" s="31" t="s">
        <v>20</v>
      </c>
      <c r="F202" s="35" t="s">
        <v>19</v>
      </c>
      <c r="G202" s="36" t="s">
        <v>22</v>
      </c>
      <c r="H202" s="36">
        <v>32201</v>
      </c>
      <c r="I202" s="37" t="s">
        <v>436</v>
      </c>
      <c r="J202" s="38"/>
      <c r="K202" s="30" t="s">
        <v>437</v>
      </c>
      <c r="L202" s="30" t="s">
        <v>438</v>
      </c>
      <c r="M202" s="30" t="s">
        <v>439</v>
      </c>
      <c r="N202" s="30" t="s">
        <v>440</v>
      </c>
      <c r="O202" s="39">
        <v>1</v>
      </c>
      <c r="P202" s="60">
        <f>+S202/O202</f>
        <v>112049</v>
      </c>
      <c r="Q202" s="61" t="s">
        <v>416</v>
      </c>
      <c r="R202" s="62">
        <v>112049</v>
      </c>
      <c r="S202" s="62">
        <v>112049</v>
      </c>
    </row>
    <row r="203" spans="1:19" ht="39" x14ac:dyDescent="0.35">
      <c r="A203" s="32" t="s">
        <v>350</v>
      </c>
      <c r="B203" s="33" t="s">
        <v>414</v>
      </c>
      <c r="C203" s="33" t="s">
        <v>70</v>
      </c>
      <c r="D203" s="34" t="s">
        <v>19</v>
      </c>
      <c r="E203" s="31" t="s">
        <v>42</v>
      </c>
      <c r="F203" s="35" t="s">
        <v>226</v>
      </c>
      <c r="G203" s="36" t="s">
        <v>48</v>
      </c>
      <c r="H203" s="36">
        <v>32201</v>
      </c>
      <c r="I203" s="37" t="s">
        <v>436</v>
      </c>
      <c r="J203" s="38"/>
      <c r="K203" s="30" t="s">
        <v>441</v>
      </c>
      <c r="L203" s="30" t="s">
        <v>442</v>
      </c>
      <c r="M203" s="30" t="s">
        <v>439</v>
      </c>
      <c r="N203" s="30" t="s">
        <v>440</v>
      </c>
      <c r="O203" s="39">
        <v>1</v>
      </c>
      <c r="P203" s="60">
        <f>+S203/O203</f>
        <v>27487.000399999997</v>
      </c>
      <c r="Q203" s="61" t="s">
        <v>416</v>
      </c>
      <c r="R203" s="62">
        <v>27487.000399999997</v>
      </c>
      <c r="S203" s="62">
        <v>27487.000399999997</v>
      </c>
    </row>
    <row r="204" spans="1:19" ht="39" x14ac:dyDescent="0.35">
      <c r="A204" s="32" t="s">
        <v>350</v>
      </c>
      <c r="B204" s="33" t="s">
        <v>414</v>
      </c>
      <c r="C204" s="33" t="s">
        <v>70</v>
      </c>
      <c r="D204" s="34" t="s">
        <v>19</v>
      </c>
      <c r="E204" s="31" t="s">
        <v>20</v>
      </c>
      <c r="F204" s="35" t="s">
        <v>19</v>
      </c>
      <c r="G204" s="36" t="s">
        <v>21</v>
      </c>
      <c r="H204" s="36">
        <v>32601</v>
      </c>
      <c r="I204" s="37" t="s">
        <v>40</v>
      </c>
      <c r="J204" s="38"/>
      <c r="K204" s="30" t="s">
        <v>443</v>
      </c>
      <c r="L204" s="30" t="s">
        <v>63</v>
      </c>
      <c r="M204" s="30" t="s">
        <v>356</v>
      </c>
      <c r="N204" s="30" t="s">
        <v>444</v>
      </c>
      <c r="O204" s="39">
        <v>1</v>
      </c>
      <c r="P204" s="60">
        <f t="shared" ref="P204" si="27">+S204/O204</f>
        <v>1452.66</v>
      </c>
      <c r="Q204" s="61" t="s">
        <v>445</v>
      </c>
      <c r="R204" s="62">
        <v>1452.66</v>
      </c>
      <c r="S204" s="62">
        <v>1452.66</v>
      </c>
    </row>
    <row r="205" spans="1:19" ht="39" x14ac:dyDescent="0.35">
      <c r="A205" s="32" t="s">
        <v>350</v>
      </c>
      <c r="B205" s="33" t="s">
        <v>414</v>
      </c>
      <c r="C205" s="33" t="s">
        <v>70</v>
      </c>
      <c r="D205" s="34" t="s">
        <v>19</v>
      </c>
      <c r="E205" s="31" t="s">
        <v>20</v>
      </c>
      <c r="F205" s="35" t="s">
        <v>19</v>
      </c>
      <c r="G205" s="36" t="s">
        <v>22</v>
      </c>
      <c r="H205" s="36">
        <v>33801</v>
      </c>
      <c r="I205" s="37" t="s">
        <v>56</v>
      </c>
      <c r="J205" s="38"/>
      <c r="K205" s="30" t="s">
        <v>446</v>
      </c>
      <c r="L205" s="30" t="s">
        <v>61</v>
      </c>
      <c r="M205" s="30" t="s">
        <v>356</v>
      </c>
      <c r="N205" s="30" t="s">
        <v>444</v>
      </c>
      <c r="O205" s="39">
        <v>1</v>
      </c>
      <c r="P205" s="60">
        <f>+S205/O205</f>
        <v>33129.599999999999</v>
      </c>
      <c r="Q205" s="61" t="s">
        <v>445</v>
      </c>
      <c r="R205" s="59">
        <v>33129.599999999999</v>
      </c>
      <c r="S205" s="59">
        <v>33129.599999999999</v>
      </c>
    </row>
    <row r="206" spans="1:19" ht="39" x14ac:dyDescent="0.35">
      <c r="A206" s="32" t="s">
        <v>350</v>
      </c>
      <c r="B206" s="33" t="s">
        <v>414</v>
      </c>
      <c r="C206" s="33" t="s">
        <v>70</v>
      </c>
      <c r="D206" s="34" t="s">
        <v>19</v>
      </c>
      <c r="E206" s="31" t="s">
        <v>42</v>
      </c>
      <c r="F206" s="35" t="s">
        <v>226</v>
      </c>
      <c r="G206" s="36" t="s">
        <v>48</v>
      </c>
      <c r="H206" s="36">
        <v>33801</v>
      </c>
      <c r="I206" s="37" t="s">
        <v>56</v>
      </c>
      <c r="J206" s="38"/>
      <c r="K206" s="30" t="s">
        <v>447</v>
      </c>
      <c r="L206" s="30" t="s">
        <v>61</v>
      </c>
      <c r="M206" s="30" t="s">
        <v>356</v>
      </c>
      <c r="N206" s="30" t="s">
        <v>444</v>
      </c>
      <c r="O206" s="39">
        <v>1</v>
      </c>
      <c r="P206" s="60">
        <f>+S206/O206</f>
        <v>16564.8</v>
      </c>
      <c r="Q206" s="61" t="s">
        <v>445</v>
      </c>
      <c r="R206" s="59">
        <v>16564.8</v>
      </c>
      <c r="S206" s="59">
        <v>16564.8</v>
      </c>
    </row>
    <row r="207" spans="1:19" ht="39" x14ac:dyDescent="0.35">
      <c r="A207" s="32" t="s">
        <v>350</v>
      </c>
      <c r="B207" s="33" t="s">
        <v>414</v>
      </c>
      <c r="C207" s="33" t="s">
        <v>70</v>
      </c>
      <c r="D207" s="34" t="s">
        <v>19</v>
      </c>
      <c r="E207" s="31" t="s">
        <v>20</v>
      </c>
      <c r="F207" s="35" t="s">
        <v>19</v>
      </c>
      <c r="G207" s="36" t="s">
        <v>21</v>
      </c>
      <c r="H207" s="36">
        <v>33901</v>
      </c>
      <c r="I207" s="37" t="s">
        <v>448</v>
      </c>
      <c r="J207" s="38"/>
      <c r="K207" s="30" t="s">
        <v>449</v>
      </c>
      <c r="L207" s="30" t="s">
        <v>58</v>
      </c>
      <c r="M207" s="30" t="s">
        <v>356</v>
      </c>
      <c r="N207" s="30" t="s">
        <v>444</v>
      </c>
      <c r="O207" s="39">
        <v>1</v>
      </c>
      <c r="P207" s="63">
        <f>+S207/O207</f>
        <v>85.14</v>
      </c>
      <c r="Q207" s="61" t="s">
        <v>416</v>
      </c>
      <c r="R207" s="59">
        <v>85.14</v>
      </c>
      <c r="S207" s="59">
        <v>85.14</v>
      </c>
    </row>
    <row r="208" spans="1:19" ht="65" x14ac:dyDescent="0.35">
      <c r="A208" s="32" t="s">
        <v>350</v>
      </c>
      <c r="B208" s="33" t="s">
        <v>414</v>
      </c>
      <c r="C208" s="33" t="s">
        <v>70</v>
      </c>
      <c r="D208" s="34" t="s">
        <v>19</v>
      </c>
      <c r="E208" s="31" t="s">
        <v>20</v>
      </c>
      <c r="F208" s="35" t="s">
        <v>19</v>
      </c>
      <c r="G208" s="36" t="s">
        <v>21</v>
      </c>
      <c r="H208" s="36">
        <v>35501</v>
      </c>
      <c r="I208" s="37" t="s">
        <v>450</v>
      </c>
      <c r="J208" s="38"/>
      <c r="K208" s="30" t="s">
        <v>451</v>
      </c>
      <c r="L208" s="30" t="s">
        <v>351</v>
      </c>
      <c r="M208" s="30" t="s">
        <v>356</v>
      </c>
      <c r="N208" s="30" t="s">
        <v>444</v>
      </c>
      <c r="O208" s="39">
        <v>1</v>
      </c>
      <c r="P208" s="60">
        <f>+S208/O208</f>
        <v>1700</v>
      </c>
      <c r="Q208" s="61" t="s">
        <v>416</v>
      </c>
      <c r="R208" s="59">
        <v>1700</v>
      </c>
      <c r="S208" s="59">
        <v>1700</v>
      </c>
    </row>
    <row r="209" spans="1:19" ht="65" x14ac:dyDescent="0.35">
      <c r="A209" s="32" t="s">
        <v>350</v>
      </c>
      <c r="B209" s="33" t="s">
        <v>414</v>
      </c>
      <c r="C209" s="33" t="s">
        <v>70</v>
      </c>
      <c r="D209" s="34" t="s">
        <v>19</v>
      </c>
      <c r="E209" s="31" t="s">
        <v>20</v>
      </c>
      <c r="F209" s="35" t="s">
        <v>19</v>
      </c>
      <c r="G209" s="36" t="s">
        <v>21</v>
      </c>
      <c r="H209" s="36">
        <v>35501</v>
      </c>
      <c r="I209" s="37" t="s">
        <v>450</v>
      </c>
      <c r="J209" s="38"/>
      <c r="K209" s="30" t="s">
        <v>452</v>
      </c>
      <c r="L209" s="30" t="s">
        <v>351</v>
      </c>
      <c r="M209" s="30" t="s">
        <v>356</v>
      </c>
      <c r="N209" s="30" t="s">
        <v>444</v>
      </c>
      <c r="O209" s="39">
        <v>1</v>
      </c>
      <c r="P209" s="60">
        <f>+S209/O209</f>
        <v>1600</v>
      </c>
      <c r="Q209" s="61" t="s">
        <v>416</v>
      </c>
      <c r="R209" s="62">
        <v>1600</v>
      </c>
      <c r="S209" s="62">
        <v>1600</v>
      </c>
    </row>
    <row r="210" spans="1:19" ht="39" x14ac:dyDescent="0.35">
      <c r="A210" s="32" t="s">
        <v>350</v>
      </c>
      <c r="B210" s="33" t="s">
        <v>414</v>
      </c>
      <c r="C210" s="33" t="s">
        <v>70</v>
      </c>
      <c r="D210" s="34" t="s">
        <v>19</v>
      </c>
      <c r="E210" s="31" t="s">
        <v>20</v>
      </c>
      <c r="F210" s="35" t="s">
        <v>19</v>
      </c>
      <c r="G210" s="36" t="s">
        <v>22</v>
      </c>
      <c r="H210" s="36">
        <v>35801</v>
      </c>
      <c r="I210" s="37" t="s">
        <v>453</v>
      </c>
      <c r="J210" s="38"/>
      <c r="K210" s="30" t="s">
        <v>454</v>
      </c>
      <c r="L210" s="30" t="s">
        <v>60</v>
      </c>
      <c r="M210" s="30" t="s">
        <v>356</v>
      </c>
      <c r="N210" s="30" t="s">
        <v>444</v>
      </c>
      <c r="O210" s="39">
        <v>1</v>
      </c>
      <c r="P210" s="60">
        <f t="shared" ref="P210:P211" si="28">+S210/O210</f>
        <v>27955.999999999996</v>
      </c>
      <c r="Q210" s="61" t="s">
        <v>445</v>
      </c>
      <c r="R210" s="59">
        <v>27955.999999999996</v>
      </c>
      <c r="S210" s="59">
        <v>27955.999999999996</v>
      </c>
    </row>
    <row r="211" spans="1:19" ht="39" x14ac:dyDescent="0.35">
      <c r="A211" s="32" t="s">
        <v>350</v>
      </c>
      <c r="B211" s="33" t="s">
        <v>414</v>
      </c>
      <c r="C211" s="33" t="s">
        <v>70</v>
      </c>
      <c r="D211" s="34" t="s">
        <v>19</v>
      </c>
      <c r="E211" s="31" t="s">
        <v>42</v>
      </c>
      <c r="F211" s="35" t="s">
        <v>19</v>
      </c>
      <c r="G211" s="36" t="s">
        <v>48</v>
      </c>
      <c r="H211" s="36">
        <v>35801</v>
      </c>
      <c r="I211" s="37" t="s">
        <v>453</v>
      </c>
      <c r="J211" s="38"/>
      <c r="K211" s="30" t="s">
        <v>454</v>
      </c>
      <c r="L211" s="30" t="s">
        <v>60</v>
      </c>
      <c r="M211" s="30" t="s">
        <v>356</v>
      </c>
      <c r="N211" s="30" t="s">
        <v>444</v>
      </c>
      <c r="O211" s="39">
        <v>1</v>
      </c>
      <c r="P211" s="60">
        <f t="shared" si="28"/>
        <v>13977.999999999998</v>
      </c>
      <c r="Q211" s="61" t="s">
        <v>445</v>
      </c>
      <c r="R211" s="59">
        <v>13977.999999999998</v>
      </c>
      <c r="S211" s="59">
        <v>13977.999999999998</v>
      </c>
    </row>
    <row r="212" spans="1:19" ht="26" x14ac:dyDescent="0.35">
      <c r="A212" s="32" t="s">
        <v>350</v>
      </c>
      <c r="B212" s="33" t="s">
        <v>455</v>
      </c>
      <c r="C212" s="33" t="s">
        <v>71</v>
      </c>
      <c r="D212" s="34" t="s">
        <v>19</v>
      </c>
      <c r="E212" s="31" t="s">
        <v>20</v>
      </c>
      <c r="F212" s="35" t="s">
        <v>19</v>
      </c>
      <c r="G212" s="36" t="s">
        <v>21</v>
      </c>
      <c r="H212" s="36" t="s">
        <v>411</v>
      </c>
      <c r="I212" s="37" t="s">
        <v>218</v>
      </c>
      <c r="J212" s="38" t="s">
        <v>456</v>
      </c>
      <c r="K212" s="30" t="s">
        <v>457</v>
      </c>
      <c r="L212" s="30" t="s">
        <v>37</v>
      </c>
      <c r="M212" s="30" t="s">
        <v>37</v>
      </c>
      <c r="N212" s="30" t="s">
        <v>215</v>
      </c>
      <c r="O212" s="39">
        <v>60</v>
      </c>
      <c r="P212" s="65">
        <v>32</v>
      </c>
      <c r="Q212" s="64" t="s">
        <v>380</v>
      </c>
      <c r="R212" s="66">
        <v>1920</v>
      </c>
      <c r="S212" s="66">
        <v>1920</v>
      </c>
    </row>
    <row r="213" spans="1:19" ht="26" x14ac:dyDescent="0.35">
      <c r="A213" s="32" t="s">
        <v>350</v>
      </c>
      <c r="B213" s="33" t="s">
        <v>455</v>
      </c>
      <c r="C213" s="33" t="s">
        <v>71</v>
      </c>
      <c r="D213" s="34" t="s">
        <v>19</v>
      </c>
      <c r="E213" s="31" t="s">
        <v>20</v>
      </c>
      <c r="F213" s="35" t="s">
        <v>19</v>
      </c>
      <c r="G213" s="36" t="s">
        <v>21</v>
      </c>
      <c r="H213" s="36" t="s">
        <v>411</v>
      </c>
      <c r="I213" s="37" t="s">
        <v>218</v>
      </c>
      <c r="J213" s="38" t="s">
        <v>323</v>
      </c>
      <c r="K213" s="30" t="s">
        <v>324</v>
      </c>
      <c r="L213" s="30" t="s">
        <v>37</v>
      </c>
      <c r="M213" s="30" t="s">
        <v>37</v>
      </c>
      <c r="N213" s="30" t="s">
        <v>215</v>
      </c>
      <c r="O213" s="39">
        <v>46</v>
      </c>
      <c r="P213" s="65">
        <v>39.19</v>
      </c>
      <c r="Q213" s="64" t="s">
        <v>380</v>
      </c>
      <c r="R213" s="66">
        <v>1802.7399999999998</v>
      </c>
      <c r="S213" s="66">
        <v>1802.7399999999998</v>
      </c>
    </row>
    <row r="214" spans="1:19" ht="26" x14ac:dyDescent="0.35">
      <c r="A214" s="32" t="s">
        <v>350</v>
      </c>
      <c r="B214" s="33" t="s">
        <v>455</v>
      </c>
      <c r="C214" s="33" t="s">
        <v>71</v>
      </c>
      <c r="D214" s="34" t="s">
        <v>19</v>
      </c>
      <c r="E214" s="31" t="s">
        <v>20</v>
      </c>
      <c r="F214" s="35" t="s">
        <v>19</v>
      </c>
      <c r="G214" s="36" t="s">
        <v>21</v>
      </c>
      <c r="H214" s="36" t="s">
        <v>411</v>
      </c>
      <c r="I214" s="37" t="s">
        <v>218</v>
      </c>
      <c r="J214" s="38" t="s">
        <v>458</v>
      </c>
      <c r="K214" s="30" t="s">
        <v>459</v>
      </c>
      <c r="L214" s="30" t="s">
        <v>37</v>
      </c>
      <c r="M214" s="30" t="s">
        <v>37</v>
      </c>
      <c r="N214" s="30" t="s">
        <v>215</v>
      </c>
      <c r="O214" s="39">
        <v>30</v>
      </c>
      <c r="P214" s="65">
        <v>51</v>
      </c>
      <c r="Q214" s="64" t="s">
        <v>380</v>
      </c>
      <c r="R214" s="66">
        <v>1530</v>
      </c>
      <c r="S214" s="66">
        <v>1530</v>
      </c>
    </row>
    <row r="215" spans="1:19" ht="26" x14ac:dyDescent="0.35">
      <c r="A215" s="32" t="s">
        <v>350</v>
      </c>
      <c r="B215" s="33" t="s">
        <v>455</v>
      </c>
      <c r="C215" s="33" t="s">
        <v>71</v>
      </c>
      <c r="D215" s="34" t="s">
        <v>19</v>
      </c>
      <c r="E215" s="31" t="s">
        <v>20</v>
      </c>
      <c r="F215" s="35" t="s">
        <v>19</v>
      </c>
      <c r="G215" s="36" t="s">
        <v>21</v>
      </c>
      <c r="H215" s="36" t="s">
        <v>411</v>
      </c>
      <c r="I215" s="37" t="s">
        <v>218</v>
      </c>
      <c r="J215" s="38" t="s">
        <v>338</v>
      </c>
      <c r="K215" s="30" t="s">
        <v>460</v>
      </c>
      <c r="L215" s="30" t="s">
        <v>37</v>
      </c>
      <c r="M215" s="30" t="s">
        <v>37</v>
      </c>
      <c r="N215" s="30" t="s">
        <v>215</v>
      </c>
      <c r="O215" s="39">
        <v>30</v>
      </c>
      <c r="P215" s="65">
        <v>76.66</v>
      </c>
      <c r="Q215" s="64" t="s">
        <v>380</v>
      </c>
      <c r="R215" s="66">
        <v>2299.7999999999997</v>
      </c>
      <c r="S215" s="66">
        <v>2299.7999999999997</v>
      </c>
    </row>
    <row r="216" spans="1:19" ht="26" x14ac:dyDescent="0.35">
      <c r="A216" s="32" t="s">
        <v>350</v>
      </c>
      <c r="B216" s="33" t="s">
        <v>455</v>
      </c>
      <c r="C216" s="33" t="s">
        <v>71</v>
      </c>
      <c r="D216" s="34" t="s">
        <v>19</v>
      </c>
      <c r="E216" s="31" t="s">
        <v>20</v>
      </c>
      <c r="F216" s="35" t="s">
        <v>19</v>
      </c>
      <c r="G216" s="36" t="s">
        <v>21</v>
      </c>
      <c r="H216" s="36" t="s">
        <v>411</v>
      </c>
      <c r="I216" s="37" t="s">
        <v>218</v>
      </c>
      <c r="J216" s="38" t="s">
        <v>334</v>
      </c>
      <c r="K216" s="30" t="s">
        <v>335</v>
      </c>
      <c r="L216" s="30" t="s">
        <v>37</v>
      </c>
      <c r="M216" s="30" t="s">
        <v>37</v>
      </c>
      <c r="N216" s="30" t="s">
        <v>138</v>
      </c>
      <c r="O216" s="39">
        <v>5</v>
      </c>
      <c r="P216" s="65">
        <v>450.05</v>
      </c>
      <c r="Q216" s="64" t="s">
        <v>380</v>
      </c>
      <c r="R216" s="66">
        <v>2250.25</v>
      </c>
      <c r="S216" s="66">
        <v>2250.25</v>
      </c>
    </row>
    <row r="217" spans="1:19" ht="78" x14ac:dyDescent="0.35">
      <c r="A217" s="32" t="s">
        <v>350</v>
      </c>
      <c r="B217" s="33" t="s">
        <v>455</v>
      </c>
      <c r="C217" s="33" t="s">
        <v>71</v>
      </c>
      <c r="D217" s="34" t="s">
        <v>19</v>
      </c>
      <c r="E217" s="31" t="s">
        <v>20</v>
      </c>
      <c r="F217" s="35" t="s">
        <v>19</v>
      </c>
      <c r="G217" s="36" t="s">
        <v>21</v>
      </c>
      <c r="H217" s="36" t="s">
        <v>461</v>
      </c>
      <c r="I217" s="37" t="s">
        <v>462</v>
      </c>
      <c r="J217" s="38" t="s">
        <v>28</v>
      </c>
      <c r="K217" s="30" t="s">
        <v>26</v>
      </c>
      <c r="L217" s="30" t="s">
        <v>463</v>
      </c>
      <c r="M217" s="30" t="s">
        <v>464</v>
      </c>
      <c r="N217" s="30" t="s">
        <v>31</v>
      </c>
      <c r="O217" s="39">
        <v>1</v>
      </c>
      <c r="P217" s="65">
        <v>2094</v>
      </c>
      <c r="Q217" s="67" t="s">
        <v>465</v>
      </c>
      <c r="R217" s="66">
        <v>2094</v>
      </c>
      <c r="S217" s="66">
        <v>2094</v>
      </c>
    </row>
    <row r="218" spans="1:19" ht="78" x14ac:dyDescent="0.35">
      <c r="A218" s="32" t="s">
        <v>350</v>
      </c>
      <c r="B218" s="33" t="s">
        <v>455</v>
      </c>
      <c r="C218" s="33" t="s">
        <v>71</v>
      </c>
      <c r="D218" s="34" t="s">
        <v>19</v>
      </c>
      <c r="E218" s="31" t="s">
        <v>308</v>
      </c>
      <c r="F218" s="35" t="s">
        <v>309</v>
      </c>
      <c r="G218" s="36" t="s">
        <v>466</v>
      </c>
      <c r="H218" s="36" t="s">
        <v>461</v>
      </c>
      <c r="I218" s="37" t="s">
        <v>462</v>
      </c>
      <c r="J218" s="38" t="s">
        <v>28</v>
      </c>
      <c r="K218" s="30" t="s">
        <v>26</v>
      </c>
      <c r="L218" s="30" t="s">
        <v>463</v>
      </c>
      <c r="M218" s="30" t="s">
        <v>464</v>
      </c>
      <c r="N218" s="30" t="s">
        <v>31</v>
      </c>
      <c r="O218" s="39">
        <v>1</v>
      </c>
      <c r="P218" s="65">
        <v>955</v>
      </c>
      <c r="Q218" s="67" t="s">
        <v>465</v>
      </c>
      <c r="R218" s="66">
        <v>955</v>
      </c>
      <c r="S218" s="66">
        <v>955</v>
      </c>
    </row>
    <row r="219" spans="1:19" ht="26" x14ac:dyDescent="0.35">
      <c r="A219" s="32" t="s">
        <v>350</v>
      </c>
      <c r="B219" s="33" t="s">
        <v>455</v>
      </c>
      <c r="C219" s="33" t="s">
        <v>71</v>
      </c>
      <c r="D219" s="34" t="s">
        <v>19</v>
      </c>
      <c r="E219" s="31" t="s">
        <v>20</v>
      </c>
      <c r="F219" s="35" t="s">
        <v>19</v>
      </c>
      <c r="G219" s="36" t="s">
        <v>21</v>
      </c>
      <c r="H219" s="36" t="s">
        <v>52</v>
      </c>
      <c r="I219" s="37" t="s">
        <v>467</v>
      </c>
      <c r="J219" s="38"/>
      <c r="K219" s="30" t="s">
        <v>468</v>
      </c>
      <c r="L219" s="30" t="s">
        <v>463</v>
      </c>
      <c r="M219" s="30" t="s">
        <v>464</v>
      </c>
      <c r="N219" s="30" t="s">
        <v>31</v>
      </c>
      <c r="O219" s="39">
        <v>1</v>
      </c>
      <c r="P219" s="68">
        <v>24.75</v>
      </c>
      <c r="Q219" s="67" t="s">
        <v>465</v>
      </c>
      <c r="R219" s="66">
        <v>24.75</v>
      </c>
      <c r="S219" s="66">
        <v>24.75</v>
      </c>
    </row>
    <row r="220" spans="1:19" ht="39" x14ac:dyDescent="0.35">
      <c r="A220" s="32" t="s">
        <v>350</v>
      </c>
      <c r="B220" s="33" t="s">
        <v>455</v>
      </c>
      <c r="C220" s="33" t="s">
        <v>71</v>
      </c>
      <c r="D220" s="34" t="s">
        <v>19</v>
      </c>
      <c r="E220" s="31" t="s">
        <v>36</v>
      </c>
      <c r="F220" s="35" t="s">
        <v>202</v>
      </c>
      <c r="G220" s="36" t="s">
        <v>167</v>
      </c>
      <c r="H220" s="36" t="s">
        <v>32</v>
      </c>
      <c r="I220" s="37" t="s">
        <v>349</v>
      </c>
      <c r="J220" s="38" t="s">
        <v>33</v>
      </c>
      <c r="K220" s="30" t="s">
        <v>34</v>
      </c>
      <c r="L220" s="30" t="s">
        <v>37</v>
      </c>
      <c r="M220" s="30" t="s">
        <v>37</v>
      </c>
      <c r="N220" s="30" t="s">
        <v>31</v>
      </c>
      <c r="O220" s="39">
        <v>1</v>
      </c>
      <c r="P220" s="69">
        <v>4960</v>
      </c>
      <c r="Q220" s="64" t="s">
        <v>380</v>
      </c>
      <c r="R220" s="66">
        <v>4960</v>
      </c>
      <c r="S220" s="66">
        <v>4960</v>
      </c>
    </row>
    <row r="221" spans="1:19" ht="39" x14ac:dyDescent="0.35">
      <c r="A221" s="32" t="s">
        <v>350</v>
      </c>
      <c r="B221" s="33" t="s">
        <v>455</v>
      </c>
      <c r="C221" s="33" t="s">
        <v>71</v>
      </c>
      <c r="D221" s="34" t="s">
        <v>19</v>
      </c>
      <c r="E221" s="31" t="s">
        <v>36</v>
      </c>
      <c r="F221" s="35" t="s">
        <v>202</v>
      </c>
      <c r="G221" s="36" t="s">
        <v>167</v>
      </c>
      <c r="H221" s="36" t="s">
        <v>32</v>
      </c>
      <c r="I221" s="37" t="s">
        <v>349</v>
      </c>
      <c r="J221" s="38" t="s">
        <v>33</v>
      </c>
      <c r="K221" s="30" t="s">
        <v>34</v>
      </c>
      <c r="L221" s="30" t="s">
        <v>37</v>
      </c>
      <c r="M221" s="30" t="s">
        <v>37</v>
      </c>
      <c r="N221" s="30" t="s">
        <v>31</v>
      </c>
      <c r="O221" s="39">
        <v>1</v>
      </c>
      <c r="P221" s="69">
        <v>5054.47</v>
      </c>
      <c r="Q221" s="64" t="s">
        <v>380</v>
      </c>
      <c r="R221" s="66">
        <v>5054.47</v>
      </c>
      <c r="S221" s="66">
        <v>5054.47</v>
      </c>
    </row>
    <row r="222" spans="1:19" ht="78" x14ac:dyDescent="0.35">
      <c r="A222" s="32" t="s">
        <v>350</v>
      </c>
      <c r="B222" s="33" t="s">
        <v>455</v>
      </c>
      <c r="C222" s="33" t="s">
        <v>71</v>
      </c>
      <c r="D222" s="34" t="s">
        <v>19</v>
      </c>
      <c r="E222" s="31" t="s">
        <v>42</v>
      </c>
      <c r="F222" s="35" t="s">
        <v>226</v>
      </c>
      <c r="G222" s="36" t="s">
        <v>48</v>
      </c>
      <c r="H222" s="36" t="s">
        <v>461</v>
      </c>
      <c r="I222" s="37" t="s">
        <v>462</v>
      </c>
      <c r="J222" s="38" t="s">
        <v>28</v>
      </c>
      <c r="K222" s="30" t="s">
        <v>26</v>
      </c>
      <c r="L222" s="30" t="s">
        <v>463</v>
      </c>
      <c r="M222" s="30" t="s">
        <v>464</v>
      </c>
      <c r="N222" s="30" t="s">
        <v>31</v>
      </c>
      <c r="O222" s="39">
        <v>1</v>
      </c>
      <c r="P222" s="65">
        <v>4137</v>
      </c>
      <c r="Q222" s="67" t="s">
        <v>465</v>
      </c>
      <c r="R222" s="66">
        <v>4137</v>
      </c>
      <c r="S222" s="66">
        <v>4137</v>
      </c>
    </row>
    <row r="223" spans="1:19" ht="26" x14ac:dyDescent="0.35">
      <c r="A223" s="32" t="s">
        <v>350</v>
      </c>
      <c r="B223" s="33" t="s">
        <v>455</v>
      </c>
      <c r="C223" s="33" t="s">
        <v>71</v>
      </c>
      <c r="D223" s="34" t="s">
        <v>19</v>
      </c>
      <c r="E223" s="31" t="s">
        <v>20</v>
      </c>
      <c r="F223" s="35" t="s">
        <v>19</v>
      </c>
      <c r="G223" s="36" t="s">
        <v>21</v>
      </c>
      <c r="H223" s="36" t="s">
        <v>52</v>
      </c>
      <c r="I223" s="37" t="s">
        <v>467</v>
      </c>
      <c r="J223" s="38"/>
      <c r="K223" s="30" t="s">
        <v>468</v>
      </c>
      <c r="L223" s="30" t="s">
        <v>463</v>
      </c>
      <c r="M223" s="30" t="s">
        <v>464</v>
      </c>
      <c r="N223" s="30" t="s">
        <v>31</v>
      </c>
      <c r="O223" s="39">
        <v>1</v>
      </c>
      <c r="P223" s="68">
        <v>33.590000000000003</v>
      </c>
      <c r="Q223" s="67" t="s">
        <v>465</v>
      </c>
      <c r="R223" s="66">
        <v>33.590000000000003</v>
      </c>
      <c r="S223" s="66">
        <v>33.590000000000003</v>
      </c>
    </row>
    <row r="224" spans="1:19" ht="39" x14ac:dyDescent="0.35">
      <c r="A224" s="32" t="s">
        <v>350</v>
      </c>
      <c r="B224" s="33" t="s">
        <v>455</v>
      </c>
      <c r="C224" s="33" t="s">
        <v>71</v>
      </c>
      <c r="D224" s="34" t="s">
        <v>19</v>
      </c>
      <c r="E224" s="31" t="s">
        <v>20</v>
      </c>
      <c r="F224" s="35" t="s">
        <v>19</v>
      </c>
      <c r="G224" s="36" t="s">
        <v>22</v>
      </c>
      <c r="H224" s="36" t="s">
        <v>55</v>
      </c>
      <c r="I224" s="37" t="s">
        <v>230</v>
      </c>
      <c r="J224" s="38"/>
      <c r="K224" s="30" t="s">
        <v>469</v>
      </c>
      <c r="L224" s="30" t="s">
        <v>61</v>
      </c>
      <c r="M224" s="30" t="s">
        <v>464</v>
      </c>
      <c r="N224" s="30" t="s">
        <v>59</v>
      </c>
      <c r="O224" s="39">
        <v>1</v>
      </c>
      <c r="P224" s="70">
        <v>33129.599999999999</v>
      </c>
      <c r="Q224" s="67" t="s">
        <v>465</v>
      </c>
      <c r="R224" s="66">
        <v>33129.599999999999</v>
      </c>
      <c r="S224" s="66">
        <v>33129.599999999999</v>
      </c>
    </row>
    <row r="225" spans="1:19" ht="39" x14ac:dyDescent="0.35">
      <c r="A225" s="32" t="s">
        <v>350</v>
      </c>
      <c r="B225" s="33" t="s">
        <v>455</v>
      </c>
      <c r="C225" s="33" t="s">
        <v>71</v>
      </c>
      <c r="D225" s="34" t="s">
        <v>19</v>
      </c>
      <c r="E225" s="31" t="s">
        <v>20</v>
      </c>
      <c r="F225" s="35" t="s">
        <v>19</v>
      </c>
      <c r="G225" s="36" t="s">
        <v>22</v>
      </c>
      <c r="H225" s="36" t="s">
        <v>54</v>
      </c>
      <c r="I225" s="37" t="s">
        <v>232</v>
      </c>
      <c r="J225" s="38"/>
      <c r="K225" s="30" t="s">
        <v>470</v>
      </c>
      <c r="L225" s="30" t="s">
        <v>61</v>
      </c>
      <c r="M225" s="30" t="s">
        <v>464</v>
      </c>
      <c r="N225" s="30" t="s">
        <v>59</v>
      </c>
      <c r="O225" s="39">
        <v>1</v>
      </c>
      <c r="P225" s="71">
        <v>27956</v>
      </c>
      <c r="Q225" s="67" t="s">
        <v>465</v>
      </c>
      <c r="R225" s="66">
        <v>27956</v>
      </c>
      <c r="S225" s="66">
        <v>27956</v>
      </c>
    </row>
    <row r="226" spans="1:19" ht="39" x14ac:dyDescent="0.35">
      <c r="A226" s="32" t="s">
        <v>350</v>
      </c>
      <c r="B226" s="33" t="s">
        <v>455</v>
      </c>
      <c r="C226" s="33" t="s">
        <v>71</v>
      </c>
      <c r="D226" s="34" t="s">
        <v>19</v>
      </c>
      <c r="E226" s="31" t="s">
        <v>20</v>
      </c>
      <c r="F226" s="35" t="s">
        <v>19</v>
      </c>
      <c r="G226" s="36" t="s">
        <v>22</v>
      </c>
      <c r="H226" s="36" t="s">
        <v>358</v>
      </c>
      <c r="I226" s="37" t="s">
        <v>359</v>
      </c>
      <c r="J226" s="38"/>
      <c r="K226" s="30" t="s">
        <v>471</v>
      </c>
      <c r="L226" s="30" t="s">
        <v>472</v>
      </c>
      <c r="M226" s="30" t="s">
        <v>464</v>
      </c>
      <c r="N226" s="30" t="s">
        <v>59</v>
      </c>
      <c r="O226" s="39">
        <v>1</v>
      </c>
      <c r="P226" s="71">
        <v>54097.64</v>
      </c>
      <c r="Q226" s="64" t="s">
        <v>416</v>
      </c>
      <c r="R226" s="66">
        <v>54097.64</v>
      </c>
      <c r="S226" s="66">
        <v>54097.64</v>
      </c>
    </row>
    <row r="227" spans="1:19" ht="39" x14ac:dyDescent="0.35">
      <c r="A227" s="32" t="s">
        <v>350</v>
      </c>
      <c r="B227" s="33" t="s">
        <v>455</v>
      </c>
      <c r="C227" s="33" t="s">
        <v>71</v>
      </c>
      <c r="D227" s="34" t="s">
        <v>19</v>
      </c>
      <c r="E227" s="31" t="s">
        <v>36</v>
      </c>
      <c r="F227" s="35" t="s">
        <v>202</v>
      </c>
      <c r="G227" s="36" t="s">
        <v>167</v>
      </c>
      <c r="H227" s="36" t="s">
        <v>473</v>
      </c>
      <c r="I227" s="37" t="s">
        <v>353</v>
      </c>
      <c r="J227" s="38"/>
      <c r="K227" s="30" t="s">
        <v>474</v>
      </c>
      <c r="L227" s="30" t="s">
        <v>37</v>
      </c>
      <c r="M227" s="30" t="s">
        <v>37</v>
      </c>
      <c r="N227" s="30" t="s">
        <v>475</v>
      </c>
      <c r="O227" s="39">
        <v>1</v>
      </c>
      <c r="P227" s="72">
        <v>2672.22</v>
      </c>
      <c r="Q227" s="64" t="s">
        <v>380</v>
      </c>
      <c r="R227" s="66">
        <v>2672.22</v>
      </c>
      <c r="S227" s="66">
        <v>2672.22</v>
      </c>
    </row>
    <row r="228" spans="1:19" ht="39" x14ac:dyDescent="0.35">
      <c r="A228" s="32" t="s">
        <v>350</v>
      </c>
      <c r="B228" s="33" t="s">
        <v>455</v>
      </c>
      <c r="C228" s="33" t="s">
        <v>71</v>
      </c>
      <c r="D228" s="34" t="s">
        <v>19</v>
      </c>
      <c r="E228" s="31" t="s">
        <v>20</v>
      </c>
      <c r="F228" s="35" t="s">
        <v>19</v>
      </c>
      <c r="G228" s="36" t="s">
        <v>22</v>
      </c>
      <c r="H228" s="36" t="s">
        <v>371</v>
      </c>
      <c r="I228" s="37" t="s">
        <v>372</v>
      </c>
      <c r="J228" s="38"/>
      <c r="K228" s="30" t="s">
        <v>476</v>
      </c>
      <c r="L228" s="30">
        <v>14575</v>
      </c>
      <c r="M228" s="30" t="s">
        <v>464</v>
      </c>
      <c r="N228" s="30" t="s">
        <v>475</v>
      </c>
      <c r="O228" s="39">
        <v>1</v>
      </c>
      <c r="P228" s="72">
        <v>621</v>
      </c>
      <c r="Q228" s="64" t="s">
        <v>416</v>
      </c>
      <c r="R228" s="66">
        <v>621</v>
      </c>
      <c r="S228" s="66">
        <v>621</v>
      </c>
    </row>
    <row r="229" spans="1:19" ht="26" x14ac:dyDescent="0.35">
      <c r="A229" s="32" t="s">
        <v>350</v>
      </c>
      <c r="B229" s="33" t="s">
        <v>455</v>
      </c>
      <c r="C229" s="33" t="s">
        <v>71</v>
      </c>
      <c r="D229" s="34" t="s">
        <v>19</v>
      </c>
      <c r="E229" s="31" t="s">
        <v>308</v>
      </c>
      <c r="F229" s="35" t="s">
        <v>309</v>
      </c>
      <c r="G229" s="36" t="s">
        <v>310</v>
      </c>
      <c r="H229" s="36" t="s">
        <v>54</v>
      </c>
      <c r="I229" s="37" t="s">
        <v>232</v>
      </c>
      <c r="J229" s="38"/>
      <c r="K229" s="31" t="s">
        <v>477</v>
      </c>
      <c r="L229" s="31" t="s">
        <v>37</v>
      </c>
      <c r="M229" s="31" t="s">
        <v>37</v>
      </c>
      <c r="N229" s="31" t="s">
        <v>475</v>
      </c>
      <c r="O229" s="39">
        <v>1</v>
      </c>
      <c r="P229" s="71">
        <v>1207.56</v>
      </c>
      <c r="Q229" s="64" t="s">
        <v>380</v>
      </c>
      <c r="R229" s="66">
        <v>1207.56</v>
      </c>
      <c r="S229" s="66">
        <v>1207.56</v>
      </c>
    </row>
    <row r="232" spans="1:19" x14ac:dyDescent="0.35">
      <c r="A232" s="75" t="s">
        <v>478</v>
      </c>
      <c r="B232" s="76"/>
      <c r="C232" s="76"/>
      <c r="D232" s="76"/>
      <c r="E232" s="76"/>
      <c r="F232" s="76"/>
      <c r="G232" s="76"/>
      <c r="H232" s="77"/>
      <c r="I232" s="14"/>
      <c r="K232" s="13"/>
      <c r="L232" s="13"/>
      <c r="M232" s="14"/>
      <c r="N232" s="15"/>
      <c r="O232" s="14"/>
      <c r="P232" s="14"/>
      <c r="Q232" s="2"/>
      <c r="R232" s="73">
        <f>SUM(R7:R231)</f>
        <v>1345291.0055999998</v>
      </c>
      <c r="S232" s="73">
        <f>SUM(S7:S231)</f>
        <v>1345291.0055999998</v>
      </c>
    </row>
  </sheetData>
  <mergeCells count="2">
    <mergeCell ref="A3:R3"/>
    <mergeCell ref="A232:H23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</vt:lpstr>
      <vt:lpstr>JULIO!Títulos_a_imprimir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dcterms:created xsi:type="dcterms:W3CDTF">2023-03-06T23:47:01Z</dcterms:created>
  <dcterms:modified xsi:type="dcterms:W3CDTF">2026-01-07T17:57:45Z</dcterms:modified>
</cp:coreProperties>
</file>