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6FDA7F95-9AF9-47B0-8CBF-7FA2984CB5AA}" xr6:coauthVersionLast="47" xr6:coauthVersionMax="47" xr10:uidLastSave="{00000000-0000-0000-0000-000000000000}"/>
  <bookViews>
    <workbookView xWindow="-108" yWindow="-108" windowWidth="23256" windowHeight="12576" xr2:uid="{62D0859A-B868-4188-B4FC-48AAC7CB0691}"/>
  </bookViews>
  <sheets>
    <sheet name="PAAASINE INICIAL 2023 (2)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INICIAL 2023 (2)'!$A$10:$AC$183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'PAAASINE INICIAL 2023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96" i="2" l="1"/>
  <c r="Q395" i="2"/>
  <c r="Q394" i="2"/>
  <c r="Q393" i="2"/>
  <c r="Q392" i="2"/>
  <c r="Q391" i="2"/>
  <c r="Q390" i="2"/>
  <c r="Q389" i="2"/>
  <c r="Q388" i="2"/>
  <c r="Q387" i="2"/>
  <c r="Q386" i="2"/>
  <c r="Q385" i="2"/>
  <c r="Q384" i="2"/>
  <c r="Q383" i="2"/>
  <c r="Q382" i="2"/>
  <c r="Q381" i="2"/>
  <c r="Q380" i="2"/>
  <c r="Q379" i="2"/>
  <c r="Q378" i="2"/>
  <c r="Q377" i="2"/>
  <c r="Q376" i="2"/>
  <c r="Q375" i="2"/>
  <c r="Q374" i="2"/>
  <c r="Q373" i="2"/>
  <c r="Q372" i="2"/>
  <c r="Q371" i="2"/>
  <c r="Q370" i="2"/>
  <c r="Q369" i="2"/>
  <c r="Q368" i="2"/>
  <c r="Q367" i="2"/>
  <c r="Q366" i="2"/>
  <c r="Q365" i="2"/>
  <c r="Q364" i="2"/>
  <c r="Q363" i="2"/>
  <c r="Q362" i="2"/>
  <c r="Q361" i="2"/>
  <c r="Q360" i="2"/>
  <c r="Q359" i="2"/>
  <c r="Q358" i="2"/>
  <c r="Q357" i="2"/>
  <c r="Q356" i="2"/>
  <c r="Q355" i="2"/>
  <c r="Q354" i="2"/>
  <c r="Q353" i="2"/>
  <c r="Q352" i="2"/>
  <c r="Q351" i="2"/>
  <c r="Q350" i="2"/>
  <c r="Q349" i="2"/>
  <c r="Q348" i="2"/>
  <c r="Q347" i="2"/>
  <c r="Q346" i="2"/>
  <c r="Q345" i="2"/>
  <c r="Q344" i="2"/>
  <c r="Q343" i="2"/>
  <c r="Q342" i="2"/>
  <c r="Q341" i="2"/>
  <c r="Q340" i="2"/>
  <c r="Q339" i="2"/>
  <c r="Q338" i="2"/>
  <c r="Q337" i="2"/>
  <c r="Q336" i="2"/>
  <c r="Q335" i="2"/>
  <c r="Q334" i="2"/>
  <c r="Q333" i="2"/>
  <c r="Q332" i="2"/>
  <c r="Q331" i="2"/>
  <c r="Q330" i="2"/>
  <c r="Q329" i="2"/>
  <c r="Q328" i="2"/>
  <c r="Q327" i="2"/>
  <c r="Q326" i="2"/>
  <c r="Q325" i="2"/>
  <c r="Q324" i="2"/>
  <c r="Q323" i="2"/>
  <c r="Q322" i="2"/>
  <c r="Q321" i="2"/>
  <c r="Q320" i="2"/>
  <c r="Q319" i="2"/>
  <c r="Q318" i="2"/>
  <c r="Q317" i="2"/>
  <c r="Q316" i="2"/>
  <c r="Q315" i="2"/>
  <c r="Q314" i="2"/>
  <c r="Q313" i="2"/>
  <c r="Q312" i="2"/>
  <c r="Q311" i="2"/>
  <c r="Q310" i="2"/>
  <c r="AC500" i="2"/>
  <c r="AB500" i="2"/>
  <c r="AA500" i="2"/>
  <c r="Z500" i="2"/>
  <c r="Y500" i="2"/>
  <c r="X500" i="2"/>
  <c r="W500" i="2"/>
  <c r="V500" i="2"/>
  <c r="U500" i="2"/>
  <c r="T500" i="2"/>
  <c r="S500" i="2"/>
  <c r="R500" i="2"/>
  <c r="AC499" i="2"/>
  <c r="AB499" i="2"/>
  <c r="AA499" i="2"/>
  <c r="Z499" i="2"/>
  <c r="Y499" i="2"/>
  <c r="X499" i="2"/>
  <c r="W499" i="2"/>
  <c r="V499" i="2"/>
  <c r="U499" i="2"/>
  <c r="T499" i="2"/>
  <c r="S499" i="2"/>
  <c r="R499" i="2"/>
  <c r="W498" i="2"/>
  <c r="Q498" i="2" s="1"/>
  <c r="N498" i="2" s="1"/>
  <c r="W497" i="2"/>
  <c r="Q497" i="2" s="1"/>
  <c r="N497" i="2" s="1"/>
  <c r="AB496" i="2"/>
  <c r="Z496" i="2"/>
  <c r="X496" i="2"/>
  <c r="U496" i="2"/>
  <c r="T496" i="2"/>
  <c r="AC495" i="2"/>
  <c r="T495" i="2"/>
  <c r="V495" i="2" s="1"/>
  <c r="X495" i="2" s="1"/>
  <c r="Z495" i="2" s="1"/>
  <c r="AB495" i="2" s="1"/>
  <c r="S495" i="2"/>
  <c r="U495" i="2" s="1"/>
  <c r="W495" i="2" s="1"/>
  <c r="Y495" i="2" s="1"/>
  <c r="AA495" i="2" s="1"/>
  <c r="S494" i="2"/>
  <c r="U494" i="2" s="1"/>
  <c r="V493" i="2"/>
  <c r="X493" i="2" s="1"/>
  <c r="Z493" i="2" s="1"/>
  <c r="AB493" i="2" s="1"/>
  <c r="T493" i="2"/>
  <c r="S493" i="2"/>
  <c r="V492" i="2"/>
  <c r="T492" i="2"/>
  <c r="X492" i="2" s="1"/>
  <c r="Z492" i="2" s="1"/>
  <c r="AB492" i="2" s="1"/>
  <c r="S492" i="2"/>
  <c r="U492" i="2" s="1"/>
  <c r="Q491" i="2"/>
  <c r="AC490" i="2"/>
  <c r="AB490" i="2"/>
  <c r="Z490" i="2"/>
  <c r="X490" i="2"/>
  <c r="U490" i="2"/>
  <c r="T490" i="2"/>
  <c r="AC489" i="2"/>
  <c r="AB489" i="2"/>
  <c r="Z489" i="2"/>
  <c r="X489" i="2"/>
  <c r="U489" i="2"/>
  <c r="T489" i="2"/>
  <c r="AC488" i="2"/>
  <c r="AB488" i="2"/>
  <c r="Z488" i="2"/>
  <c r="X488" i="2"/>
  <c r="U488" i="2"/>
  <c r="T488" i="2"/>
  <c r="AC487" i="2"/>
  <c r="Q487" i="2"/>
  <c r="N487" i="2" s="1"/>
  <c r="AC486" i="2"/>
  <c r="AB486" i="2"/>
  <c r="Z486" i="2"/>
  <c r="X486" i="2"/>
  <c r="U486" i="2"/>
  <c r="T486" i="2"/>
  <c r="AC485" i="2"/>
  <c r="AB485" i="2"/>
  <c r="Z485" i="2"/>
  <c r="X485" i="2"/>
  <c r="U485" i="2"/>
  <c r="T485" i="2"/>
  <c r="AC484" i="2"/>
  <c r="AB484" i="2"/>
  <c r="Z484" i="2"/>
  <c r="X484" i="2"/>
  <c r="U484" i="2"/>
  <c r="T484" i="2"/>
  <c r="AC483" i="2"/>
  <c r="AB483" i="2"/>
  <c r="Z483" i="2"/>
  <c r="X483" i="2"/>
  <c r="U483" i="2"/>
  <c r="T483" i="2"/>
  <c r="AC482" i="2"/>
  <c r="AB482" i="2"/>
  <c r="Z482" i="2"/>
  <c r="X482" i="2"/>
  <c r="U482" i="2"/>
  <c r="T482" i="2"/>
  <c r="Q481" i="2"/>
  <c r="N481" i="2" s="1"/>
  <c r="Q479" i="2"/>
  <c r="N479" i="2" s="1"/>
  <c r="AC478" i="2"/>
  <c r="AB478" i="2"/>
  <c r="AA478" i="2"/>
  <c r="Z478" i="2"/>
  <c r="Y478" i="2"/>
  <c r="X478" i="2"/>
  <c r="W478" i="2"/>
  <c r="V478" i="2"/>
  <c r="U478" i="2"/>
  <c r="T478" i="2"/>
  <c r="S478" i="2"/>
  <c r="R478" i="2"/>
  <c r="Q477" i="2"/>
  <c r="N477" i="2" s="1"/>
  <c r="Q476" i="2"/>
  <c r="Q475" i="2"/>
  <c r="W474" i="2"/>
  <c r="Q474" i="2" s="1"/>
  <c r="N474" i="2" s="1"/>
  <c r="W473" i="2"/>
  <c r="Q473" i="2" s="1"/>
  <c r="N473" i="2" s="1"/>
  <c r="W472" i="2"/>
  <c r="Q472" i="2" s="1"/>
  <c r="N472" i="2" s="1"/>
  <c r="W471" i="2"/>
  <c r="Q471" i="2" s="1"/>
  <c r="N471" i="2" s="1"/>
  <c r="W470" i="2"/>
  <c r="Q470" i="2" s="1"/>
  <c r="N470" i="2" s="1"/>
  <c r="W469" i="2"/>
  <c r="Q469" i="2" s="1"/>
  <c r="N469" i="2" s="1"/>
  <c r="AB468" i="2"/>
  <c r="AA468" i="2"/>
  <c r="Z468" i="2"/>
  <c r="Y468" i="2"/>
  <c r="X468" i="2"/>
  <c r="W468" i="2"/>
  <c r="V468" i="2"/>
  <c r="U468" i="2"/>
  <c r="T468" i="2"/>
  <c r="S468" i="2"/>
  <c r="AB467" i="2"/>
  <c r="AA467" i="2"/>
  <c r="Z467" i="2"/>
  <c r="Y467" i="2"/>
  <c r="X467" i="2"/>
  <c r="W467" i="2"/>
  <c r="V467" i="2"/>
  <c r="U467" i="2"/>
  <c r="T467" i="2"/>
  <c r="S467" i="2"/>
  <c r="AB466" i="2"/>
  <c r="AA466" i="2"/>
  <c r="Z466" i="2"/>
  <c r="Y466" i="2"/>
  <c r="X466" i="2"/>
  <c r="W466" i="2"/>
  <c r="V466" i="2"/>
  <c r="U466" i="2"/>
  <c r="T466" i="2"/>
  <c r="S466" i="2"/>
  <c r="U465" i="2"/>
  <c r="Q465" i="2" s="1"/>
  <c r="N465" i="2" s="1"/>
  <c r="AA464" i="2"/>
  <c r="T464" i="2"/>
  <c r="W463" i="2"/>
  <c r="Q463" i="2" s="1"/>
  <c r="N463" i="2" s="1"/>
  <c r="AB462" i="2"/>
  <c r="AA462" i="2"/>
  <c r="Z462" i="2"/>
  <c r="X462" i="2"/>
  <c r="AC461" i="2"/>
  <c r="AB461" i="2"/>
  <c r="AA461" i="2"/>
  <c r="Z461" i="2"/>
  <c r="AB460" i="2"/>
  <c r="AA460" i="2"/>
  <c r="Y460" i="2"/>
  <c r="W460" i="2"/>
  <c r="U460" i="2"/>
  <c r="S460" i="2"/>
  <c r="X459" i="2"/>
  <c r="Q459" i="2" s="1"/>
  <c r="N459" i="2" s="1"/>
  <c r="Y458" i="2"/>
  <c r="Q458" i="2" s="1"/>
  <c r="N458" i="2" s="1"/>
  <c r="AB457" i="2"/>
  <c r="AA457" i="2"/>
  <c r="Y457" i="2"/>
  <c r="W457" i="2"/>
  <c r="U457" i="2"/>
  <c r="S457" i="2"/>
  <c r="AB456" i="2"/>
  <c r="AA456" i="2"/>
  <c r="Y456" i="2"/>
  <c r="W456" i="2"/>
  <c r="U456" i="2"/>
  <c r="S456" i="2"/>
  <c r="AC455" i="2"/>
  <c r="AB455" i="2"/>
  <c r="AA455" i="2"/>
  <c r="Z455" i="2"/>
  <c r="W455" i="2"/>
  <c r="T455" i="2"/>
  <c r="S455" i="2"/>
  <c r="AC454" i="2"/>
  <c r="W454" i="2"/>
  <c r="U454" i="2"/>
  <c r="T454" i="2"/>
  <c r="S454" i="2"/>
  <c r="X453" i="2"/>
  <c r="Q453" i="2" s="1"/>
  <c r="N453" i="2" s="1"/>
  <c r="AB452" i="2"/>
  <c r="AA452" i="2"/>
  <c r="Y452" i="2"/>
  <c r="W452" i="2"/>
  <c r="U452" i="2"/>
  <c r="S452" i="2"/>
  <c r="AB451" i="2"/>
  <c r="AA451" i="2"/>
  <c r="Z451" i="2"/>
  <c r="AB450" i="2"/>
  <c r="AA450" i="2"/>
  <c r="Y450" i="2"/>
  <c r="W450" i="2"/>
  <c r="U450" i="2"/>
  <c r="S450" i="2"/>
  <c r="Y449" i="2"/>
  <c r="X449" i="2"/>
  <c r="Q448" i="2"/>
  <c r="O448" i="2" s="1"/>
  <c r="N448" i="2" s="1"/>
  <c r="Q447" i="2"/>
  <c r="O447" i="2" s="1"/>
  <c r="Q446" i="2"/>
  <c r="N446" i="2" s="1"/>
  <c r="AC445" i="2"/>
  <c r="Q445" i="2" s="1"/>
  <c r="N445" i="2" s="1"/>
  <c r="AC444" i="2"/>
  <c r="Q444" i="2" s="1"/>
  <c r="AC443" i="2"/>
  <c r="Q443" i="2" s="1"/>
  <c r="N443" i="2" s="1"/>
  <c r="Q442" i="2"/>
  <c r="X441" i="2"/>
  <c r="Q441" i="2" s="1"/>
  <c r="N441" i="2" s="1"/>
  <c r="U440" i="2"/>
  <c r="Q440" i="2" s="1"/>
  <c r="N440" i="2" s="1"/>
  <c r="S439" i="2"/>
  <c r="Q439" i="2" s="1"/>
  <c r="N439" i="2" s="1"/>
  <c r="X438" i="2"/>
  <c r="U438" i="2"/>
  <c r="Q438" i="2" s="1"/>
  <c r="N438" i="2" s="1"/>
  <c r="Q437" i="2"/>
  <c r="AC436" i="2"/>
  <c r="AB436" i="2"/>
  <c r="AA436" i="2"/>
  <c r="Z436" i="2"/>
  <c r="Y436" i="2"/>
  <c r="X436" i="2"/>
  <c r="W436" i="2"/>
  <c r="V436" i="2"/>
  <c r="U436" i="2"/>
  <c r="T436" i="2"/>
  <c r="S436" i="2"/>
  <c r="AA435" i="2"/>
  <c r="Y435" i="2"/>
  <c r="W435" i="2"/>
  <c r="U435" i="2"/>
  <c r="S435" i="2"/>
  <c r="AA434" i="2"/>
  <c r="Y434" i="2"/>
  <c r="W434" i="2"/>
  <c r="U434" i="2"/>
  <c r="S434" i="2"/>
  <c r="AA433" i="2"/>
  <c r="Y433" i="2"/>
  <c r="W433" i="2"/>
  <c r="U433" i="2"/>
  <c r="S433" i="2"/>
  <c r="AA432" i="2"/>
  <c r="X432" i="2"/>
  <c r="U432" i="2"/>
  <c r="S432" i="2"/>
  <c r="AA431" i="2"/>
  <c r="X431" i="2"/>
  <c r="U431" i="2"/>
  <c r="S431" i="2"/>
  <c r="AA430" i="2"/>
  <c r="X430" i="2"/>
  <c r="U430" i="2"/>
  <c r="S430" i="2"/>
  <c r="X429" i="2"/>
  <c r="Q429" i="2" s="1"/>
  <c r="N429" i="2" s="1"/>
  <c r="Y428" i="2"/>
  <c r="X428" i="2"/>
  <c r="U428" i="2"/>
  <c r="T428" i="2"/>
  <c r="AC427" i="2"/>
  <c r="X427" i="2"/>
  <c r="AB426" i="2"/>
  <c r="AA426" i="2"/>
  <c r="Y426" i="2"/>
  <c r="W426" i="2"/>
  <c r="U426" i="2"/>
  <c r="S426" i="2"/>
  <c r="Y425" i="2"/>
  <c r="Q425" i="2" s="1"/>
  <c r="N425" i="2" s="1"/>
  <c r="X425" i="2"/>
  <c r="AC424" i="2"/>
  <c r="AB424" i="2"/>
  <c r="AA424" i="2"/>
  <c r="Z424" i="2"/>
  <c r="X424" i="2"/>
  <c r="V424" i="2"/>
  <c r="U424" i="2"/>
  <c r="X423" i="2"/>
  <c r="Q423" i="2" s="1"/>
  <c r="N423" i="2" s="1"/>
  <c r="Y422" i="2"/>
  <c r="Q422" i="2" s="1"/>
  <c r="N422" i="2" s="1"/>
  <c r="Y421" i="2"/>
  <c r="X421" i="2"/>
  <c r="V421" i="2"/>
  <c r="S421" i="2"/>
  <c r="AB420" i="2"/>
  <c r="AA420" i="2"/>
  <c r="Z420" i="2"/>
  <c r="X420" i="2"/>
  <c r="V419" i="2"/>
  <c r="Q419" i="2" s="1"/>
  <c r="N419" i="2" s="1"/>
  <c r="S419" i="2"/>
  <c r="Y418" i="2"/>
  <c r="W418" i="2"/>
  <c r="U418" i="2"/>
  <c r="T418" i="2"/>
  <c r="S418" i="2"/>
  <c r="AB417" i="2"/>
  <c r="AA417" i="2"/>
  <c r="Y417" i="2"/>
  <c r="W417" i="2"/>
  <c r="U417" i="2"/>
  <c r="S417" i="2"/>
  <c r="X416" i="2"/>
  <c r="Q416" i="2" s="1"/>
  <c r="N416" i="2" s="1"/>
  <c r="Y415" i="2"/>
  <c r="X415" i="2"/>
  <c r="AB414" i="2"/>
  <c r="AA414" i="2"/>
  <c r="Y414" i="2"/>
  <c r="W414" i="2"/>
  <c r="U414" i="2"/>
  <c r="S414" i="2"/>
  <c r="AB413" i="2"/>
  <c r="AA413" i="2"/>
  <c r="Y413" i="2"/>
  <c r="W413" i="2"/>
  <c r="U413" i="2"/>
  <c r="S413" i="2"/>
  <c r="AB412" i="2"/>
  <c r="AA412" i="2"/>
  <c r="Y412" i="2"/>
  <c r="W412" i="2"/>
  <c r="U412" i="2"/>
  <c r="S412" i="2"/>
  <c r="AB411" i="2"/>
  <c r="AA411" i="2"/>
  <c r="Y411" i="2"/>
  <c r="W411" i="2"/>
  <c r="U411" i="2"/>
  <c r="S411" i="2"/>
  <c r="AC410" i="2"/>
  <c r="AB410" i="2"/>
  <c r="AA410" i="2"/>
  <c r="Z410" i="2"/>
  <c r="U410" i="2"/>
  <c r="S410" i="2"/>
  <c r="Y409" i="2"/>
  <c r="Q409" i="2" s="1"/>
  <c r="N409" i="2" s="1"/>
  <c r="AC408" i="2"/>
  <c r="AB408" i="2"/>
  <c r="AA408" i="2"/>
  <c r="Z408" i="2"/>
  <c r="W408" i="2"/>
  <c r="U408" i="2"/>
  <c r="T408" i="2"/>
  <c r="AC407" i="2"/>
  <c r="AB407" i="2"/>
  <c r="AA407" i="2"/>
  <c r="Z407" i="2"/>
  <c r="W407" i="2"/>
  <c r="U407" i="2"/>
  <c r="S407" i="2"/>
  <c r="AC406" i="2"/>
  <c r="AB406" i="2"/>
  <c r="AA406" i="2"/>
  <c r="Z406" i="2"/>
  <c r="Y406" i="2"/>
  <c r="W406" i="2"/>
  <c r="V406" i="2"/>
  <c r="T406" i="2"/>
  <c r="S406" i="2"/>
  <c r="Q405" i="2"/>
  <c r="N405" i="2" s="1"/>
  <c r="Q404" i="2"/>
  <c r="Q403" i="2"/>
  <c r="Q402" i="2"/>
  <c r="O402" i="2" s="1"/>
  <c r="Q401" i="2"/>
  <c r="Q400" i="2"/>
  <c r="N400" i="2" s="1"/>
  <c r="AC399" i="2"/>
  <c r="AB399" i="2"/>
  <c r="AA399" i="2"/>
  <c r="Z399" i="2"/>
  <c r="Y399" i="2"/>
  <c r="X399" i="2"/>
  <c r="W399" i="2"/>
  <c r="V399" i="2"/>
  <c r="U399" i="2"/>
  <c r="T399" i="2"/>
  <c r="S399" i="2"/>
  <c r="AC398" i="2"/>
  <c r="AB398" i="2"/>
  <c r="AA398" i="2"/>
  <c r="Z398" i="2"/>
  <c r="Y398" i="2"/>
  <c r="X398" i="2"/>
  <c r="W398" i="2"/>
  <c r="V398" i="2"/>
  <c r="U398" i="2"/>
  <c r="T398" i="2"/>
  <c r="S398" i="2"/>
  <c r="T397" i="2"/>
  <c r="V397" i="2" s="1"/>
  <c r="X397" i="2" s="1"/>
  <c r="Z397" i="2" s="1"/>
  <c r="AB397" i="2" s="1"/>
  <c r="AB480" i="2" s="1"/>
  <c r="S397" i="2"/>
  <c r="U397" i="2" s="1"/>
  <c r="W397" i="2" s="1"/>
  <c r="Y397" i="2" s="1"/>
  <c r="AA397" i="2" s="1"/>
  <c r="Q449" i="2" l="1"/>
  <c r="N449" i="2" s="1"/>
  <c r="Q496" i="2"/>
  <c r="N496" i="2" s="1"/>
  <c r="Q431" i="2"/>
  <c r="N431" i="2" s="1"/>
  <c r="Q482" i="2"/>
  <c r="N482" i="2" s="1"/>
  <c r="Q486" i="2"/>
  <c r="N486" i="2" s="1"/>
  <c r="Q430" i="2"/>
  <c r="N430" i="2" s="1"/>
  <c r="Q456" i="2"/>
  <c r="N456" i="2" s="1"/>
  <c r="Q408" i="2"/>
  <c r="N408" i="2" s="1"/>
  <c r="Q451" i="2"/>
  <c r="N451" i="2" s="1"/>
  <c r="Q424" i="2"/>
  <c r="N424" i="2" s="1"/>
  <c r="Q435" i="2"/>
  <c r="N435" i="2" s="1"/>
  <c r="Q428" i="2"/>
  <c r="N428" i="2" s="1"/>
  <c r="Q436" i="2"/>
  <c r="N436" i="2" s="1"/>
  <c r="Q450" i="2"/>
  <c r="N450" i="2" s="1"/>
  <c r="Q454" i="2"/>
  <c r="N454" i="2" s="1"/>
  <c r="Q457" i="2"/>
  <c r="N457" i="2" s="1"/>
  <c r="Q415" i="2"/>
  <c r="N415" i="2" s="1"/>
  <c r="Q412" i="2"/>
  <c r="N412" i="2" s="1"/>
  <c r="Q420" i="2"/>
  <c r="N420" i="2" s="1"/>
  <c r="Q478" i="2"/>
  <c r="N478" i="2" s="1"/>
  <c r="Q455" i="2"/>
  <c r="N455" i="2" s="1"/>
  <c r="Q406" i="2"/>
  <c r="N406" i="2" s="1"/>
  <c r="Q413" i="2"/>
  <c r="N413" i="2" s="1"/>
  <c r="Q434" i="2"/>
  <c r="N434" i="2" s="1"/>
  <c r="Q483" i="2"/>
  <c r="N483" i="2" s="1"/>
  <c r="Q500" i="2"/>
  <c r="N500" i="2" s="1"/>
  <c r="Q398" i="2"/>
  <c r="N398" i="2" s="1"/>
  <c r="Q407" i="2"/>
  <c r="N407" i="2" s="1"/>
  <c r="Q411" i="2"/>
  <c r="N411" i="2" s="1"/>
  <c r="Q421" i="2"/>
  <c r="N421" i="2" s="1"/>
  <c r="Q464" i="2"/>
  <c r="N464" i="2" s="1"/>
  <c r="Q488" i="2"/>
  <c r="N488" i="2" s="1"/>
  <c r="Q499" i="2"/>
  <c r="N499" i="2" s="1"/>
  <c r="Q410" i="2"/>
  <c r="N410" i="2" s="1"/>
  <c r="Q427" i="2"/>
  <c r="N427" i="2" s="1"/>
  <c r="Q433" i="2"/>
  <c r="N433" i="2" s="1"/>
  <c r="Q462" i="2"/>
  <c r="N462" i="2" s="1"/>
  <c r="Q468" i="2"/>
  <c r="N468" i="2" s="1"/>
  <c r="Q418" i="2"/>
  <c r="N418" i="2" s="1"/>
  <c r="Q485" i="2"/>
  <c r="N485" i="2" s="1"/>
  <c r="Q426" i="2"/>
  <c r="N426" i="2" s="1"/>
  <c r="Q452" i="2"/>
  <c r="N452" i="2" s="1"/>
  <c r="Q461" i="2"/>
  <c r="N461" i="2" s="1"/>
  <c r="Q467" i="2"/>
  <c r="N467" i="2" s="1"/>
  <c r="Q490" i="2"/>
  <c r="N490" i="2" s="1"/>
  <c r="Q399" i="2"/>
  <c r="N399" i="2" s="1"/>
  <c r="Q414" i="2"/>
  <c r="N414" i="2" s="1"/>
  <c r="Q417" i="2"/>
  <c r="N417" i="2" s="1"/>
  <c r="Q484" i="2"/>
  <c r="N484" i="2" s="1"/>
  <c r="Q432" i="2"/>
  <c r="N432" i="2" s="1"/>
  <c r="Q460" i="2"/>
  <c r="N460" i="2" s="1"/>
  <c r="Q466" i="2"/>
  <c r="N466" i="2" s="1"/>
  <c r="Q489" i="2"/>
  <c r="N489" i="2" s="1"/>
  <c r="W494" i="2"/>
  <c r="Y494" i="2" s="1"/>
  <c r="AA494" i="2" s="1"/>
  <c r="W492" i="2"/>
  <c r="Y492" i="2" s="1"/>
  <c r="AA492" i="2" s="1"/>
  <c r="AC492" i="2" s="1"/>
  <c r="Q492" i="2"/>
  <c r="N492" i="2" s="1"/>
  <c r="AC397" i="2"/>
  <c r="AC480" i="2" s="1"/>
  <c r="AA480" i="2"/>
  <c r="Q495" i="2"/>
  <c r="N495" i="2" s="1"/>
  <c r="N447" i="2"/>
  <c r="U493" i="2"/>
  <c r="W493" i="2" s="1"/>
  <c r="Y493" i="2" s="1"/>
  <c r="AA493" i="2" s="1"/>
  <c r="AC493" i="2" s="1"/>
  <c r="Q494" i="2" l="1"/>
  <c r="N494" i="2" s="1"/>
  <c r="Q480" i="2"/>
  <c r="N480" i="2" s="1"/>
  <c r="Q397" i="2"/>
  <c r="N397" i="2" s="1"/>
  <c r="Q493" i="2"/>
  <c r="N493" i="2" s="1"/>
  <c r="Q309" i="2" l="1"/>
  <c r="Q308" i="2"/>
  <c r="Q307" i="2"/>
  <c r="Q306" i="2"/>
  <c r="Q305" i="2"/>
  <c r="O305" i="2"/>
  <c r="Q304" i="2"/>
  <c r="Q303" i="2"/>
  <c r="O303" i="2"/>
  <c r="Q302" i="2"/>
  <c r="Q301" i="2"/>
  <c r="Q300" i="2"/>
  <c r="Q299" i="2"/>
  <c r="Q298" i="2"/>
  <c r="Q297" i="2"/>
  <c r="O297" i="2"/>
  <c r="Q296" i="2"/>
  <c r="O296" i="2"/>
  <c r="Q295" i="2"/>
  <c r="O295" i="2"/>
  <c r="Q294" i="2"/>
  <c r="Q293" i="2"/>
  <c r="Q292" i="2"/>
  <c r="Q291" i="2"/>
  <c r="O291" i="2"/>
  <c r="Q290" i="2"/>
  <c r="O290" i="2"/>
  <c r="Q289" i="2"/>
  <c r="O289" i="2"/>
  <c r="Q288" i="2"/>
  <c r="O288" i="2"/>
  <c r="Q287" i="2"/>
  <c r="O287" i="2"/>
  <c r="Q286" i="2"/>
  <c r="O286" i="2"/>
  <c r="Q285" i="2"/>
  <c r="O285" i="2"/>
  <c r="Q284" i="2"/>
  <c r="O284" i="2"/>
  <c r="Q283" i="2"/>
  <c r="O283" i="2"/>
  <c r="Q282" i="2"/>
  <c r="O282" i="2"/>
  <c r="Q281" i="2"/>
  <c r="O281" i="2"/>
  <c r="Q280" i="2"/>
  <c r="O280" i="2"/>
  <c r="Q279" i="2"/>
  <c r="O279" i="2"/>
  <c r="Q278" i="2"/>
  <c r="O278" i="2"/>
  <c r="Q277" i="2"/>
  <c r="O277" i="2"/>
  <c r="Q276" i="2"/>
  <c r="O276" i="2"/>
  <c r="Q275" i="2"/>
  <c r="Q274" i="2"/>
  <c r="O274" i="2"/>
  <c r="Q273" i="2"/>
  <c r="Q272" i="2"/>
  <c r="O272" i="2"/>
  <c r="Q271" i="2"/>
  <c r="Q270" i="2"/>
  <c r="O270" i="2"/>
  <c r="Q269" i="2"/>
  <c r="O269" i="2"/>
  <c r="Q268" i="2"/>
  <c r="O268" i="2"/>
  <c r="Q267" i="2"/>
  <c r="O267" i="2"/>
  <c r="Q266" i="2"/>
  <c r="O266" i="2"/>
  <c r="Q265" i="2"/>
  <c r="O265" i="2"/>
  <c r="Q263" i="2"/>
  <c r="O263" i="2"/>
  <c r="Q262" i="2"/>
  <c r="O262" i="2"/>
  <c r="Q261" i="2"/>
  <c r="O261" i="2"/>
  <c r="Q260" i="2"/>
  <c r="O260" i="2"/>
  <c r="Q259" i="2"/>
  <c r="O259" i="2"/>
  <c r="Q258" i="2"/>
  <c r="Q257" i="2"/>
  <c r="Q256" i="2"/>
  <c r="O256" i="2"/>
  <c r="Q255" i="2"/>
  <c r="O255" i="2"/>
  <c r="Q254" i="2"/>
  <c r="Q253" i="2"/>
  <c r="Q252" i="2"/>
  <c r="Q251" i="2"/>
  <c r="Q250" i="2"/>
  <c r="Q249" i="2"/>
  <c r="Q248" i="2"/>
  <c r="O248" i="2"/>
  <c r="Q247" i="2"/>
  <c r="O247" i="2"/>
  <c r="Q246" i="2"/>
  <c r="O246" i="2"/>
  <c r="Q245" i="2"/>
  <c r="O245" i="2"/>
  <c r="Q244" i="2"/>
  <c r="Q243" i="2"/>
  <c r="Q242" i="2"/>
  <c r="Q241" i="2"/>
  <c r="Q240" i="2"/>
  <c r="Q239" i="2"/>
  <c r="Q238" i="2"/>
  <c r="Q237" i="2"/>
  <c r="Q236" i="2"/>
  <c r="Q235" i="2"/>
  <c r="Q234" i="2"/>
  <c r="Q233" i="2"/>
  <c r="Q232" i="2"/>
  <c r="Q231" i="2"/>
  <c r="Q230" i="2"/>
  <c r="Q229" i="2"/>
  <c r="Q228" i="2"/>
  <c r="Q227" i="2"/>
  <c r="Q226" i="2"/>
  <c r="Q225" i="2"/>
  <c r="Q224" i="2"/>
  <c r="Q223" i="2"/>
  <c r="O223" i="2"/>
  <c r="Q222" i="2"/>
  <c r="O222" i="2"/>
  <c r="Q221" i="2"/>
  <c r="O221" i="2"/>
  <c r="Q220" i="2"/>
  <c r="Q219" i="2"/>
  <c r="O219" i="2"/>
  <c r="Q218" i="2"/>
  <c r="O218" i="2"/>
  <c r="Q217" i="2"/>
  <c r="O217" i="2"/>
  <c r="Q216" i="2"/>
  <c r="O216" i="2"/>
  <c r="Q215" i="2"/>
  <c r="O215" i="2"/>
  <c r="Q214" i="2"/>
  <c r="O214" i="2"/>
  <c r="Q213" i="2"/>
  <c r="O213" i="2"/>
  <c r="Q212" i="2"/>
  <c r="O212" i="2"/>
  <c r="Q211" i="2"/>
  <c r="O211" i="2"/>
  <c r="Q210" i="2"/>
  <c r="O210" i="2"/>
  <c r="Q209" i="2"/>
  <c r="O209" i="2"/>
  <c r="Q208" i="2"/>
  <c r="O208" i="2"/>
  <c r="Q207" i="2"/>
  <c r="O207" i="2"/>
  <c r="Q206" i="2"/>
  <c r="O206" i="2"/>
  <c r="Q205" i="2"/>
  <c r="O205" i="2"/>
  <c r="Q204" i="2"/>
  <c r="O204" i="2"/>
  <c r="Q203" i="2"/>
  <c r="O203" i="2"/>
  <c r="Q202" i="2"/>
  <c r="O202" i="2"/>
  <c r="Q201" i="2"/>
  <c r="O201" i="2"/>
  <c r="Q200" i="2"/>
  <c r="O200" i="2"/>
  <c r="Q199" i="2"/>
  <c r="Q198" i="2"/>
  <c r="O198" i="2"/>
  <c r="Q197" i="2"/>
  <c r="O197" i="2"/>
  <c r="Q196" i="2"/>
  <c r="O196" i="2"/>
  <c r="Q195" i="2"/>
  <c r="O195" i="2"/>
  <c r="Q194" i="2"/>
  <c r="O194" i="2"/>
  <c r="Q193" i="2"/>
  <c r="O193" i="2"/>
  <c r="Q192" i="2"/>
  <c r="O192" i="2"/>
  <c r="Q191" i="2"/>
  <c r="O191" i="2"/>
  <c r="Q190" i="2"/>
  <c r="O190" i="2"/>
  <c r="Q189" i="2"/>
  <c r="O189" i="2"/>
  <c r="Q188" i="2"/>
  <c r="O188" i="2"/>
  <c r="Q187" i="2"/>
  <c r="O187" i="2"/>
  <c r="Q186" i="2"/>
  <c r="O186" i="2"/>
  <c r="Q185" i="2"/>
  <c r="O185" i="2"/>
  <c r="Q184" i="2"/>
  <c r="O184" i="2"/>
  <c r="O182" i="2" l="1"/>
  <c r="O169" i="2"/>
  <c r="O160" i="2"/>
  <c r="O157" i="2"/>
  <c r="O156" i="2"/>
  <c r="O155" i="2"/>
  <c r="T154" i="2"/>
  <c r="Q154" i="2" s="1"/>
  <c r="O153" i="2"/>
  <c r="AA152" i="2"/>
  <c r="O151" i="2"/>
  <c r="O150" i="2"/>
  <c r="S150" i="2" s="1"/>
  <c r="Q150" i="2" s="1"/>
  <c r="O149" i="2"/>
  <c r="T149" i="2" s="1"/>
  <c r="O148" i="2"/>
  <c r="O147" i="2"/>
  <c r="T147" i="2" s="1"/>
  <c r="Q147" i="2" s="1"/>
  <c r="O146" i="2"/>
  <c r="T146" i="2" s="1"/>
  <c r="Q146" i="2" s="1"/>
  <c r="O145" i="2"/>
  <c r="O144" i="2"/>
  <c r="Z144" i="2" s="1"/>
  <c r="Q144" i="2" s="1"/>
  <c r="O143" i="2"/>
  <c r="X143" i="2" s="1"/>
  <c r="Q143" i="2" s="1"/>
  <c r="O142" i="2"/>
  <c r="O141" i="2"/>
  <c r="U141" i="2" s="1"/>
  <c r="O140" i="2"/>
  <c r="T140" i="2" s="1"/>
  <c r="Q140" i="2" s="1"/>
  <c r="O139" i="2"/>
  <c r="T139" i="2" s="1"/>
  <c r="Q139" i="2" s="1"/>
  <c r="O138" i="2"/>
  <c r="T138" i="2" s="1"/>
  <c r="O137" i="2"/>
  <c r="T137" i="2" s="1"/>
  <c r="Q137" i="2" s="1"/>
  <c r="O136" i="2"/>
  <c r="T136" i="2" s="1"/>
  <c r="O135" i="2"/>
  <c r="Z135" i="2" s="1"/>
  <c r="O134" i="2"/>
  <c r="O133" i="2"/>
  <c r="Z133" i="2" s="1"/>
  <c r="Q133" i="2" s="1"/>
  <c r="O132" i="2"/>
  <c r="Z132" i="2" s="1"/>
  <c r="Q132" i="2" s="1"/>
  <c r="O131" i="2"/>
  <c r="Z131" i="2" s="1"/>
  <c r="Q131" i="2" s="1"/>
  <c r="O130" i="2"/>
  <c r="W130" i="2" s="1"/>
  <c r="Q130" i="2" s="1"/>
  <c r="O129" i="2"/>
  <c r="T129" i="2" s="1"/>
  <c r="Q129" i="2" s="1"/>
  <c r="O128" i="2"/>
  <c r="T128" i="2" s="1"/>
  <c r="Q128" i="2" s="1"/>
  <c r="O127" i="2"/>
  <c r="T127" i="2" s="1"/>
  <c r="Q127" i="2" s="1"/>
  <c r="O126" i="2"/>
  <c r="T126" i="2" s="1"/>
  <c r="O124" i="2"/>
  <c r="O123" i="2"/>
  <c r="T123" i="2" s="1"/>
  <c r="Q123" i="2" s="1"/>
  <c r="O122" i="2"/>
  <c r="Z122" i="2" s="1"/>
  <c r="Q122" i="2" s="1"/>
  <c r="O121" i="2"/>
  <c r="W121" i="2" s="1"/>
  <c r="Q121" i="2" s="1"/>
  <c r="O120" i="2"/>
  <c r="W120" i="2" s="1"/>
  <c r="Q120" i="2" s="1"/>
  <c r="O119" i="2"/>
  <c r="W119" i="2" s="1"/>
  <c r="Q119" i="2" s="1"/>
  <c r="O118" i="2"/>
  <c r="W118" i="2" s="1"/>
  <c r="Q118" i="2" s="1"/>
  <c r="O117" i="2"/>
  <c r="T117" i="2" s="1"/>
  <c r="O116" i="2"/>
  <c r="T116" i="2" s="1"/>
  <c r="Q116" i="2" s="1"/>
  <c r="O115" i="2"/>
  <c r="T115" i="2" s="1"/>
  <c r="Q115" i="2" s="1"/>
  <c r="O114" i="2"/>
  <c r="T114" i="2" s="1"/>
  <c r="Q114" i="2" s="1"/>
  <c r="O113" i="2"/>
  <c r="T113" i="2" s="1"/>
  <c r="Q113" i="2" s="1"/>
  <c r="O112" i="2"/>
  <c r="T112" i="2" s="1"/>
  <c r="Q112" i="2" s="1"/>
  <c r="O111" i="2"/>
  <c r="T111" i="2" s="1"/>
  <c r="Q111" i="2" s="1"/>
  <c r="O110" i="2"/>
  <c r="T110" i="2" s="1"/>
  <c r="Q110" i="2" s="1"/>
  <c r="O109" i="2"/>
  <c r="T109" i="2" s="1"/>
  <c r="Q109" i="2" s="1"/>
  <c r="O108" i="2"/>
  <c r="Z108" i="2" s="1"/>
  <c r="Q108" i="2" s="1"/>
  <c r="O107" i="2"/>
  <c r="Z107" i="2" s="1"/>
  <c r="Q107" i="2" s="1"/>
  <c r="O106" i="2"/>
  <c r="O105" i="2"/>
  <c r="O104" i="2"/>
  <c r="Z104" i="2" s="1"/>
  <c r="Q104" i="2" s="1"/>
  <c r="O103" i="2"/>
  <c r="W103" i="2" s="1"/>
  <c r="Q103" i="2" s="1"/>
  <c r="O102" i="2"/>
  <c r="W102" i="2" s="1"/>
  <c r="Q102" i="2" s="1"/>
  <c r="O101" i="2"/>
  <c r="W101" i="2" s="1"/>
  <c r="Q101" i="2" s="1"/>
  <c r="O100" i="2"/>
  <c r="T100" i="2" s="1"/>
  <c r="Q100" i="2" s="1"/>
  <c r="O99" i="2"/>
  <c r="O98" i="2"/>
  <c r="T98" i="2" s="1"/>
  <c r="Q98" i="2" s="1"/>
  <c r="O97" i="2"/>
  <c r="O96" i="2"/>
  <c r="Z96" i="2" s="1"/>
  <c r="O95" i="2"/>
  <c r="Z95" i="2" s="1"/>
  <c r="O94" i="2"/>
  <c r="Z94" i="2" s="1"/>
  <c r="O93" i="2"/>
  <c r="Z93" i="2" s="1"/>
  <c r="O92" i="2"/>
  <c r="Z92" i="2" s="1"/>
  <c r="Q92" i="2" s="1"/>
  <c r="O91" i="2"/>
  <c r="O90" i="2"/>
  <c r="Z90" i="2" s="1"/>
  <c r="Q90" i="2" s="1"/>
  <c r="O89" i="2"/>
  <c r="Z89" i="2" s="1"/>
  <c r="Q89" i="2" s="1"/>
  <c r="O88" i="2"/>
  <c r="Z88" i="2" s="1"/>
  <c r="O87" i="2"/>
  <c r="O86" i="2"/>
  <c r="Z86" i="2" s="1"/>
  <c r="Q86" i="2" s="1"/>
  <c r="O85" i="2"/>
  <c r="Z85" i="2" s="1"/>
  <c r="Q85" i="2" s="1"/>
  <c r="O84" i="2"/>
  <c r="Z84" i="2" s="1"/>
  <c r="O83" i="2"/>
  <c r="O82" i="2"/>
  <c r="O81" i="2"/>
  <c r="Z81" i="2" s="1"/>
  <c r="Q81" i="2" s="1"/>
  <c r="O80" i="2"/>
  <c r="Z80" i="2" s="1"/>
  <c r="Q80" i="2" s="1"/>
  <c r="O79" i="2"/>
  <c r="Z79" i="2" s="1"/>
  <c r="Q79" i="2" s="1"/>
  <c r="O78" i="2"/>
  <c r="O77" i="2"/>
  <c r="Z77" i="2" s="1"/>
  <c r="Q77" i="2" s="1"/>
  <c r="O76" i="2"/>
  <c r="Z76" i="2" s="1"/>
  <c r="Q76" i="2" s="1"/>
  <c r="O75" i="2"/>
  <c r="Z75" i="2" s="1"/>
  <c r="Q75" i="2" s="1"/>
  <c r="O74" i="2"/>
  <c r="Z74" i="2" s="1"/>
  <c r="Q74" i="2" s="1"/>
  <c r="O73" i="2"/>
  <c r="O72" i="2"/>
  <c r="Z72" i="2" s="1"/>
  <c r="Q72" i="2" s="1"/>
  <c r="O71" i="2"/>
  <c r="Z71" i="2" s="1"/>
  <c r="Q71" i="2" s="1"/>
  <c r="O70" i="2"/>
  <c r="Z70" i="2" s="1"/>
  <c r="Q70" i="2" s="1"/>
  <c r="O69" i="2"/>
  <c r="Z69" i="2" s="1"/>
  <c r="Q69" i="2" s="1"/>
  <c r="O68" i="2"/>
  <c r="Z68" i="2" s="1"/>
  <c r="Q68" i="2" s="1"/>
  <c r="O67" i="2"/>
  <c r="O66" i="2"/>
  <c r="W66" i="2" s="1"/>
  <c r="Q66" i="2" s="1"/>
  <c r="O65" i="2"/>
  <c r="O64" i="2"/>
  <c r="W64" i="2" s="1"/>
  <c r="O63" i="2"/>
  <c r="O62" i="2"/>
  <c r="O61" i="2"/>
  <c r="W61" i="2" s="1"/>
  <c r="Q61" i="2" s="1"/>
  <c r="O60" i="2"/>
  <c r="W60" i="2" s="1"/>
  <c r="Q60" i="2" s="1"/>
  <c r="O59" i="2"/>
  <c r="W59" i="2" s="1"/>
  <c r="Q59" i="2" s="1"/>
  <c r="O58" i="2"/>
  <c r="O57" i="2"/>
  <c r="W57" i="2" s="1"/>
  <c r="Q57" i="2" s="1"/>
  <c r="O56" i="2"/>
  <c r="W56" i="2" s="1"/>
  <c r="Q56" i="2" s="1"/>
  <c r="O55" i="2"/>
  <c r="W55" i="2" s="1"/>
  <c r="Q55" i="2" s="1"/>
  <c r="O54" i="2"/>
  <c r="W54" i="2" s="1"/>
  <c r="Q54" i="2" s="1"/>
  <c r="O53" i="2"/>
  <c r="W53" i="2" s="1"/>
  <c r="O52" i="2"/>
  <c r="W52" i="2" s="1"/>
  <c r="O51" i="2"/>
  <c r="W51" i="2" s="1"/>
  <c r="Q51" i="2" s="1"/>
  <c r="O50" i="2"/>
  <c r="O49" i="2"/>
  <c r="W49" i="2" s="1"/>
  <c r="Q49" i="2" s="1"/>
  <c r="O48" i="2"/>
  <c r="W48" i="2" s="1"/>
  <c r="O47" i="2"/>
  <c r="O46" i="2"/>
  <c r="W46" i="2" s="1"/>
  <c r="Q46" i="2" s="1"/>
  <c r="O45" i="2"/>
  <c r="O44" i="2"/>
  <c r="W44" i="2" s="1"/>
  <c r="Q44" i="2" s="1"/>
  <c r="O43" i="2"/>
  <c r="W43" i="2" s="1"/>
  <c r="Q43" i="2" s="1"/>
  <c r="O42" i="2"/>
  <c r="O41" i="2"/>
  <c r="W41" i="2" s="1"/>
  <c r="Q41" i="2" s="1"/>
  <c r="O40" i="2"/>
  <c r="W40" i="2" s="1"/>
  <c r="Q40" i="2" s="1"/>
  <c r="O39" i="2"/>
  <c r="W39" i="2" s="1"/>
  <c r="Q39" i="2" s="1"/>
  <c r="O38" i="2"/>
  <c r="T38" i="2" s="1"/>
  <c r="Q38" i="2" s="1"/>
  <c r="O37" i="2"/>
  <c r="T37" i="2" s="1"/>
  <c r="Q37" i="2" s="1"/>
  <c r="O36" i="2"/>
  <c r="T36" i="2" s="1"/>
  <c r="Q36" i="2" s="1"/>
  <c r="O35" i="2"/>
  <c r="T35" i="2" s="1"/>
  <c r="Q35" i="2" s="1"/>
  <c r="O34" i="2"/>
  <c r="T34" i="2" s="1"/>
  <c r="Q34" i="2" s="1"/>
  <c r="O33" i="2"/>
  <c r="O32" i="2"/>
  <c r="T32" i="2" s="1"/>
  <c r="O31" i="2"/>
  <c r="O30" i="2"/>
  <c r="T30" i="2" s="1"/>
  <c r="O29" i="2"/>
  <c r="T29" i="2" s="1"/>
  <c r="Q29" i="2" s="1"/>
  <c r="O28" i="2"/>
  <c r="T28" i="2" s="1"/>
  <c r="Q28" i="2" s="1"/>
  <c r="O27" i="2"/>
  <c r="O26" i="2"/>
  <c r="O25" i="2"/>
  <c r="T25" i="2" s="1"/>
  <c r="Q25" i="2" s="1"/>
  <c r="O24" i="2"/>
  <c r="T24" i="2" s="1"/>
  <c r="Q24" i="2" s="1"/>
  <c r="O23" i="2"/>
  <c r="T23" i="2" s="1"/>
  <c r="Q23" i="2" s="1"/>
  <c r="O22" i="2"/>
  <c r="T22" i="2" s="1"/>
  <c r="Q22" i="2" s="1"/>
  <c r="O21" i="2"/>
  <c r="T21" i="2" s="1"/>
  <c r="Q21" i="2" s="1"/>
  <c r="T20" i="2"/>
  <c r="O20" i="2"/>
  <c r="O19" i="2"/>
  <c r="O18" i="2"/>
  <c r="O17" i="2"/>
  <c r="O16" i="2"/>
  <c r="T16" i="2" s="1"/>
  <c r="Q16" i="2" s="1"/>
  <c r="O15" i="2"/>
  <c r="T15" i="2" s="1"/>
  <c r="Q15" i="2" s="1"/>
  <c r="O14" i="2"/>
  <c r="T14" i="2" s="1"/>
  <c r="Q14" i="2" s="1"/>
  <c r="O13" i="2"/>
  <c r="T13" i="2" s="1"/>
  <c r="Q13" i="2" s="1"/>
  <c r="O12" i="2"/>
  <c r="T12" i="2" s="1"/>
  <c r="Q12" i="2" s="1"/>
  <c r="O11" i="2"/>
  <c r="T11" i="2" s="1"/>
  <c r="Q11" i="2" s="1"/>
  <c r="Q183" i="2"/>
  <c r="Q182" i="2"/>
  <c r="Q181" i="2"/>
  <c r="Q180" i="2"/>
  <c r="O180" i="2" s="1"/>
  <c r="Q179" i="2"/>
  <c r="O179" i="2" s="1"/>
  <c r="Q178" i="2"/>
  <c r="O178" i="2" s="1"/>
  <c r="Q177" i="2"/>
  <c r="O177" i="2" s="1"/>
  <c r="Q176" i="2"/>
  <c r="O176" i="2" s="1"/>
  <c r="Q175" i="2"/>
  <c r="O175" i="2" s="1"/>
  <c r="Q174" i="2"/>
  <c r="Q173" i="2"/>
  <c r="Q172" i="2"/>
  <c r="O172" i="2" s="1"/>
  <c r="Q171" i="2"/>
  <c r="Q170" i="2"/>
  <c r="Q169" i="2"/>
  <c r="Q168" i="2"/>
  <c r="O168" i="2" s="1"/>
  <c r="Q167" i="2"/>
  <c r="Q166" i="2"/>
  <c r="Q165" i="2"/>
  <c r="Q164" i="2"/>
  <c r="O164" i="2" s="1"/>
  <c r="Q163" i="2"/>
  <c r="O163" i="2" s="1"/>
  <c r="Q162" i="2"/>
  <c r="Q161" i="2"/>
  <c r="O161" i="2" s="1"/>
  <c r="Q160" i="2"/>
  <c r="Q159" i="2"/>
  <c r="Q158" i="2"/>
  <c r="Q157" i="2"/>
  <c r="Q156" i="2"/>
  <c r="Q155" i="2"/>
  <c r="Q153" i="2"/>
  <c r="Q151" i="2"/>
  <c r="Q145" i="2"/>
  <c r="Q125" i="2"/>
  <c r="Q124" i="2"/>
  <c r="W149" i="2" l="1"/>
  <c r="Q149" i="2"/>
  <c r="Q20" i="2"/>
  <c r="Q32" i="2"/>
  <c r="Q48" i="2"/>
  <c r="Q52" i="2"/>
  <c r="Q64" i="2"/>
  <c r="Q84" i="2"/>
  <c r="Q88" i="2"/>
  <c r="Q96" i="2"/>
  <c r="Q117" i="2"/>
  <c r="Z134" i="2"/>
  <c r="Q134" i="2" s="1"/>
  <c r="W142" i="2"/>
  <c r="Q142" i="2" s="1"/>
  <c r="T17" i="2"/>
  <c r="Q17" i="2" s="1"/>
  <c r="T33" i="2"/>
  <c r="Q33" i="2" s="1"/>
  <c r="W45" i="2"/>
  <c r="Q45" i="2" s="1"/>
  <c r="W65" i="2"/>
  <c r="Q65" i="2" s="1"/>
  <c r="Z73" i="2"/>
  <c r="Q73" i="2" s="1"/>
  <c r="T97" i="2"/>
  <c r="Q97" i="2" s="1"/>
  <c r="Z105" i="2"/>
  <c r="Q105" i="2" s="1"/>
  <c r="Q135" i="2"/>
  <c r="Q138" i="2"/>
  <c r="Q53" i="2"/>
  <c r="Q93" i="2"/>
  <c r="T18" i="2"/>
  <c r="Q18" i="2" s="1"/>
  <c r="T26" i="2"/>
  <c r="Q26" i="2" s="1"/>
  <c r="W42" i="2"/>
  <c r="Q42" i="2" s="1"/>
  <c r="W50" i="2"/>
  <c r="Q50" i="2" s="1"/>
  <c r="W58" i="2"/>
  <c r="Q58" i="2" s="1"/>
  <c r="W62" i="2"/>
  <c r="Q62" i="2" s="1"/>
  <c r="Z78" i="2"/>
  <c r="Q78" i="2" s="1"/>
  <c r="Z82" i="2"/>
  <c r="Q82" i="2" s="1"/>
  <c r="Z106" i="2"/>
  <c r="Q106" i="2" s="1"/>
  <c r="T148" i="2"/>
  <c r="Q148" i="2" s="1"/>
  <c r="Q63" i="2"/>
  <c r="Q67" i="2"/>
  <c r="T19" i="2"/>
  <c r="Q19" i="2" s="1"/>
  <c r="T27" i="2"/>
  <c r="Q27" i="2" s="1"/>
  <c r="T31" i="2"/>
  <c r="Q31" i="2" s="1"/>
  <c r="W47" i="2"/>
  <c r="Q47" i="2" s="1"/>
  <c r="W63" i="2"/>
  <c r="W67" i="2"/>
  <c r="Z83" i="2"/>
  <c r="Q83" i="2" s="1"/>
  <c r="Z87" i="2"/>
  <c r="Q87" i="2" s="1"/>
  <c r="Z91" i="2"/>
  <c r="Q91" i="2" s="1"/>
  <c r="T99" i="2"/>
  <c r="Q99" i="2" s="1"/>
  <c r="Q141" i="2"/>
  <c r="Q136" i="2"/>
  <c r="Q126" i="2"/>
  <c r="Q95" i="2"/>
  <c r="Q94" i="2"/>
  <c r="Q30" i="2"/>
  <c r="Q15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123</author>
  </authors>
  <commentList>
    <comment ref="I153" authorId="0" shapeId="0" xr:uid="{52723888-DB08-4900-9493-09A51A2AB6BA}">
      <text>
        <r>
          <rPr>
            <b/>
            <sz val="9"/>
            <color indexed="81"/>
            <rFont val="Tahoma"/>
            <family val="2"/>
          </rPr>
          <t>Agregar conceptos</t>
        </r>
      </text>
    </comment>
    <comment ref="I522" authorId="0" shapeId="0" xr:uid="{DBB88260-8833-43AD-A1CA-8548CEDE9F74}">
      <text>
        <r>
          <rPr>
            <b/>
            <sz val="9"/>
            <color indexed="81"/>
            <rFont val="Tahoma"/>
            <family val="2"/>
          </rPr>
          <t>Agregar este concepto si es el que se refiere al papel higienico que normalemente se adquiere</t>
        </r>
      </text>
    </comment>
    <comment ref="I529" authorId="0" shapeId="0" xr:uid="{AA09F601-CB4F-4583-AB27-15C42F3C8D50}">
      <text>
        <r>
          <rPr>
            <b/>
            <sz val="9"/>
            <color indexed="81"/>
            <rFont val="Tahoma"/>
            <family val="2"/>
          </rPr>
          <t>Agregar concepto</t>
        </r>
      </text>
    </comment>
    <comment ref="I560" authorId="0" shapeId="0" xr:uid="{E7EED7D4-5CD3-4A43-8802-47C77D5D9677}">
      <text>
        <r>
          <rPr>
            <b/>
            <sz val="9"/>
            <color indexed="81"/>
            <rFont val="Tahoma"/>
            <family val="2"/>
          </rPr>
          <t>cmbiar por clave 23 que considera caja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561" authorId="0" shapeId="0" xr:uid="{7CC83F41-969A-40BB-BDBA-F6823596606E}">
      <text>
        <r>
          <rPr>
            <b/>
            <sz val="9"/>
            <color indexed="81"/>
            <rFont val="Tahoma"/>
            <family val="2"/>
          </rPr>
          <t>cambiar por clave 24 que considera caja</t>
        </r>
      </text>
    </comment>
    <comment ref="I572" authorId="0" shapeId="0" xr:uid="{F0BE0A37-5AF2-459E-A487-72AEF0BDFF85}">
      <text>
        <r>
          <rPr>
            <b/>
            <sz val="9"/>
            <color indexed="81"/>
            <rFont val="Tahoma"/>
            <family val="2"/>
          </rPr>
          <t>Agregar conceptos</t>
        </r>
      </text>
    </comment>
  </commentList>
</comments>
</file>

<file path=xl/sharedStrings.xml><?xml version="1.0" encoding="utf-8"?>
<sst xmlns="http://schemas.openxmlformats.org/spreadsheetml/2006/main" count="10817" uniqueCount="1132">
  <si>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</si>
  <si>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</si>
  <si>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</si>
  <si>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</si>
  <si>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</si>
  <si>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</si>
  <si>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</si>
  <si>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</si>
  <si>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</si>
  <si>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</si>
  <si>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</si>
  <si>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</si>
  <si>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</si>
  <si>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</si>
  <si>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</si>
  <si>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</si>
  <si>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</si>
  <si>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</si>
  <si>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</si>
  <si>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</si>
  <si>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</si>
  <si>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</si>
  <si>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</si>
  <si>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</si>
  <si>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</si>
  <si>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</si>
  <si>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</si>
  <si>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</si>
  <si>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</si>
  <si>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</si>
  <si>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</si>
  <si>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</si>
  <si>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NA</t>
  </si>
  <si>
    <t>BOLIGRAFO TINTA AZUL</t>
  </si>
  <si>
    <t>MARCADOR TINTA PERMANENTE NEGRO</t>
  </si>
  <si>
    <t>MARCATEXTO AMARILLO</t>
  </si>
  <si>
    <t>CAJA DE ARCHIVO MUERTO T/OFICIO</t>
  </si>
  <si>
    <t>CINTA CANELA 48 X 50</t>
  </si>
  <si>
    <t>CINTA DIUREX 18 X 65</t>
  </si>
  <si>
    <t>CLIP ESTANDAR # 1</t>
  </si>
  <si>
    <t>CLIP ESTANDAR # 2</t>
  </si>
  <si>
    <t>CORRECTOR LIQUIDO T/LAPIZ</t>
  </si>
  <si>
    <t>LIBRO DE REGISTRO T/FLORETE F/FRANC.</t>
  </si>
  <si>
    <t>LIBRETA F/FRANCESA P/DURA CUADRO GRANDE</t>
  </si>
  <si>
    <t>ENGRAPADORA</t>
  </si>
  <si>
    <t>CUTTER GRANDE</t>
  </si>
  <si>
    <t>GRAPA STANDAR</t>
  </si>
  <si>
    <t>SERVILLETAS DESECHABLES 500 PiezaS</t>
  </si>
  <si>
    <t>PEGAMENTO ADHESIVO T/ LAPIZ</t>
  </si>
  <si>
    <t>PORTA GAFETES TIPO YOYO</t>
  </si>
  <si>
    <t>PORTAMINAS y/o LAPICERO 0.5 m.m. (PLASTIC</t>
  </si>
  <si>
    <t>SUJETADOR DE DOCUMENTOS T/G</t>
  </si>
  <si>
    <t>PASTA O CUBIERTA PARA ENGARGOLAR T/C</t>
  </si>
  <si>
    <t>LAPIZ</t>
  </si>
  <si>
    <t>Pieza</t>
  </si>
  <si>
    <t>CAJA</t>
  </si>
  <si>
    <t>PAQUETE</t>
  </si>
  <si>
    <t>BOLSA</t>
  </si>
  <si>
    <t>BLOC</t>
  </si>
  <si>
    <t>JUEGO</t>
  </si>
  <si>
    <t>ADJUDICACION DIRECTA</t>
  </si>
  <si>
    <t>cja</t>
  </si>
  <si>
    <t>KILOGRAMO</t>
  </si>
  <si>
    <t>GALON</t>
  </si>
  <si>
    <t>SOBRE</t>
  </si>
  <si>
    <t>FRASCO</t>
  </si>
  <si>
    <t>CJA</t>
  </si>
  <si>
    <t>PAR</t>
  </si>
  <si>
    <t>Serv</t>
  </si>
  <si>
    <t>001</t>
  </si>
  <si>
    <t>M001</t>
  </si>
  <si>
    <t>B00OD01</t>
  </si>
  <si>
    <t>B00OD02</t>
  </si>
  <si>
    <t>ARRE</t>
  </si>
  <si>
    <t>R005</t>
  </si>
  <si>
    <t>B00CA01</t>
  </si>
  <si>
    <t>MARCATEXTO AZUL</t>
  </si>
  <si>
    <t>MARCATEXTO ROSA</t>
  </si>
  <si>
    <t>DESINFECTANTE EN AEROSOL</t>
  </si>
  <si>
    <t>LITRO</t>
  </si>
  <si>
    <t>B00PE02</t>
  </si>
  <si>
    <t>COJIN P/SELLO #1</t>
  </si>
  <si>
    <t>LIBRETA PROFESIONAL CUADRO GRANDE 100 hjs</t>
  </si>
  <si>
    <t>BROCHE BACCO</t>
  </si>
  <si>
    <t>SUJETADOR DE DOCUMENTS PRES. MEDIANO</t>
  </si>
  <si>
    <t>BLOCK DE NOTAS POST-IT CHICO</t>
  </si>
  <si>
    <t>TINTA P/SELLO DE GOMA (NEGRO)</t>
  </si>
  <si>
    <t>B00MO02</t>
  </si>
  <si>
    <t>INVITACION A CUANDO MENOS TRES PERSONAS</t>
  </si>
  <si>
    <t>INE/SERS/JLE-MOR/12/2022</t>
  </si>
  <si>
    <t>SERVICIOS</t>
  </si>
  <si>
    <t>INE/SERS/JLE-MOR/17/2022</t>
  </si>
  <si>
    <t>ARRENDAMIENTO</t>
  </si>
  <si>
    <t>INE/SERVS/JLEMOR/13/2022</t>
  </si>
  <si>
    <t>INE/SERVS/JLE-MOR/11/2022</t>
  </si>
  <si>
    <t>01/2022</t>
  </si>
  <si>
    <t>PAPEL OPALINA T/CARTA</t>
  </si>
  <si>
    <t>LIGAS NUMERO  18</t>
  </si>
  <si>
    <t>ENGRAPADORA DE GOLPE METALICA</t>
  </si>
  <si>
    <t>PLUMA ZEBRA J. ROLLER</t>
  </si>
  <si>
    <t>TIJERA DEL  # 6</t>
  </si>
  <si>
    <t>CINTA DIUREX 24 X 65</t>
  </si>
  <si>
    <t>BORRADOR WS-30 GOMA BLANCA</t>
  </si>
  <si>
    <t>SEPARADOR BLANCO T/CARTA C/ORIFICIOS</t>
  </si>
  <si>
    <t>BLOCK DE NOTAS POST-IT GRANDE</t>
  </si>
  <si>
    <t>PAPEL BOND T/CARTA 500 hjs.</t>
  </si>
  <si>
    <t>MARCADOR DE ACETATO</t>
  </si>
  <si>
    <t>FOLDER T/CARTA</t>
  </si>
  <si>
    <t>FILTRO PARA CAFETERA C/500</t>
  </si>
  <si>
    <t>ETIQUETA ADHESIVA  25 X 25</t>
  </si>
  <si>
    <t>PAPEL MEMBRETADO A 1 TINTA</t>
  </si>
  <si>
    <t>CINTA MAGICA 24 X 65</t>
  </si>
  <si>
    <t>REGISTRADOR  LEFORT T/CARTA</t>
  </si>
  <si>
    <t>LIBRETA F/FRANCESA CUADRO GRANDE  96 hjs.</t>
  </si>
  <si>
    <t>LIBRETA PROFESIONAL DE RAYA 100 hjs.</t>
  </si>
  <si>
    <t>DEDAL DE HULE (VARIOS)</t>
  </si>
  <si>
    <t>SOBRE BOLSA T/MEDIA CARTA S/IMP.</t>
  </si>
  <si>
    <t>CINTA MASKING TAPE 1"</t>
  </si>
  <si>
    <t>CINTA CANELA 48 X 150</t>
  </si>
  <si>
    <t>FOLIADOR  6 DIGITOS</t>
  </si>
  <si>
    <t>SUJETADOR DE DOCUMENTOS PRES. GRANDE</t>
  </si>
  <si>
    <t>REVISTERO DE ACRILICO</t>
  </si>
  <si>
    <t>SUJETADOR DE DOCUMENTOS PRES. MEDIANO</t>
  </si>
  <si>
    <t>ETIQUETA ADHESIVA  31 X 67</t>
  </si>
  <si>
    <t>MICA TERMICA P/CREDENCIALES</t>
  </si>
  <si>
    <t>CORDON PARA GAFETE</t>
  </si>
  <si>
    <t>SOBRE BOLSA TA/RADIOGRAFIA</t>
  </si>
  <si>
    <t>ARILLO METALICO 1/4 "</t>
  </si>
  <si>
    <t>ARILLO METALICO 3/8 "</t>
  </si>
  <si>
    <t>MICA AUTO ADHERIBLE T/CARTA</t>
  </si>
  <si>
    <t>ARILLO METALICO 1/2 "</t>
  </si>
  <si>
    <t>ARILLO METALICO 9/16 "</t>
  </si>
  <si>
    <t>CARTULINA OPALINA T/CARTA</t>
  </si>
  <si>
    <t>LIBRETA F/FRANCESA PASTA DURA 192 H. RAYA</t>
  </si>
  <si>
    <t>PAPEL BOND T/OFICIO  C/500 hjs.</t>
  </si>
  <si>
    <t>CLIP MARIPOSA  # 1</t>
  </si>
  <si>
    <t>TABLA PORTAPAPEL EN MADERA T/CARTA</t>
  </si>
  <si>
    <t>CUTTER METALICO GRANDE</t>
  </si>
  <si>
    <t>DEDAL DE HULE N 12</t>
  </si>
  <si>
    <t>CESTO DE PLASTICO PARA BASURA</t>
  </si>
  <si>
    <t>ETIQUETAS PARA LLAVES</t>
  </si>
  <si>
    <t>PORTAGAFETE DE IDENTIFICACION PLAST/ACRIL</t>
  </si>
  <si>
    <t>ETIQUETA CIRCULAR COLOR ROSA</t>
  </si>
  <si>
    <t>PAPEL BOND T/CARTA ( COLOR )</t>
  </si>
  <si>
    <t>PALITO DE MADERA</t>
  </si>
  <si>
    <t>MICA PORTADOCUMENTO</t>
  </si>
  <si>
    <t>COJIN P/SELLO #2</t>
  </si>
  <si>
    <t>DEDAL DE HULE N 11</t>
  </si>
  <si>
    <t>ETIQUETA ADHESIVA  50 X 100</t>
  </si>
  <si>
    <t>TABLA DE APOYO T/CARTA</t>
  </si>
  <si>
    <t>CINTA ADHESIVA</t>
  </si>
  <si>
    <t xml:space="preserve">PAPEL HIGIENICO JUMBO </t>
  </si>
  <si>
    <t>TOALLA INTERDOBLADA C/20 PAQ</t>
  </si>
  <si>
    <t>ESPUMA  PARA GABINETE</t>
  </si>
  <si>
    <t xml:space="preserve">TONER HP CEC364A </t>
  </si>
  <si>
    <t>DISCO DURO 2TB  EXTERNO ADATA</t>
  </si>
  <si>
    <t>AIRE COMPRIMIDO</t>
  </si>
  <si>
    <t>ALCOHOL ISOPROPILICO 1 LITRO</t>
  </si>
  <si>
    <t>DISCO COMPACTO ( C.D. ) REGRABABLE CD/RW</t>
  </si>
  <si>
    <t>LIMPIADOR P/COMPONENTES DE COMPUTO</t>
  </si>
  <si>
    <t xml:space="preserve">SANITIZANTE LIQUIDO GALON DE 5 LITROS </t>
  </si>
  <si>
    <t>PISTOLA SANITIZANTE ELECTRICA</t>
  </si>
  <si>
    <t>ASPERSOR SANITIZANTE 1 LITRO</t>
  </si>
  <si>
    <t>SANITIZANTE LIQUIDO 1 LITRO</t>
  </si>
  <si>
    <t>TOALLAS HUMEDAS DESINFECTANTES 50 PIEZAS</t>
  </si>
  <si>
    <t>GUANTES NO ESTERILES NITRILO 100 PIEZAS</t>
  </si>
  <si>
    <t>SUSCRIPCIONES DE PERIODICOS Y/O REVISTAS</t>
  </si>
  <si>
    <t>ALIMENTOS PARA PERSONAL QUE LLEVE A CABO LABORES EN CAMPO O SUPERVISIÓN</t>
  </si>
  <si>
    <t>ALIMENTOS PARA PERSONAL QUE DESARROLLE ACTIVIDADES EXTRAORDINARIAS DENTRO DE LAS INSTALACIONES.</t>
  </si>
  <si>
    <t>ADQUISICION DE AGUA EN GARRAFON DE 20 LTS PARA CONSUMO DEL PERSONAL DE LA JUNTA LOCAL EJECUTIVA</t>
  </si>
  <si>
    <t>PILA AA PAQ CON 5 PIEZAS</t>
  </si>
  <si>
    <t>CINTURON DE PLASTICO (CINCHO P/CABLE ELEC.) PAQUETE CON 50 PIEZAS</t>
  </si>
  <si>
    <t>CONTACTO MULTIPLE C/SUPRESOR DE PICOS</t>
  </si>
  <si>
    <t>EXTENSION ELECTRICA 20 M</t>
  </si>
  <si>
    <t>EXTENSION ELECTRICA 10 mts.</t>
  </si>
  <si>
    <t>PILA 9 VOLTS</t>
  </si>
  <si>
    <t>PILAS RECARGABLES AA PAQUETE CON 4 PIEZAS</t>
  </si>
  <si>
    <t>CINTA METALICA PARA DUCTOS  48 MM X 50 M.</t>
  </si>
  <si>
    <t>PISTOLA PARA SILICON</t>
  </si>
  <si>
    <t>BOLSA DE SILICON EN BARRAS (1KG.)</t>
  </si>
  <si>
    <t>LLANTA 195/66 R15</t>
  </si>
  <si>
    <t>CUBRE BOCAS TRICAPA AZUL</t>
  </si>
  <si>
    <t>CUBRE BOCAS KN 95</t>
  </si>
  <si>
    <t>GEL ANTIBACTERIAL 250 ML</t>
  </si>
  <si>
    <t>GEL ANTIBACTERIAL 1 LT.</t>
  </si>
  <si>
    <t>GEL ANTIBACTERIAL GARRAFA 20 LITROS</t>
  </si>
  <si>
    <t>ADQUISICIÓN DE COMBUSTIBLE A TRAVES DE DISPERSIÓN EN TARJETAS ELECTRÓNICAS</t>
  </si>
  <si>
    <t>KIT DE HERRAMIENTAS CON 153 PIEZAS</t>
  </si>
  <si>
    <t>DESPACHADOR DE AGUA - GASTO</t>
  </si>
  <si>
    <t>ESTANTE DE TRES PISOS 77 X 60 X 34 CM.</t>
  </si>
  <si>
    <t>GUIAS DE MENSAJERÍA</t>
  </si>
  <si>
    <t>ARRENDAMIETO DE EQUIPOS DE FOTOCOPIADO Y ESCANEO</t>
  </si>
  <si>
    <t>COMISIÓN POR DISPERSIÓN EN TARJETAS ELECTRÓNICAS COMBUSTIBLE</t>
  </si>
  <si>
    <t>AVALÚO</t>
  </si>
  <si>
    <t>SERVICIO DE FLETE</t>
  </si>
  <si>
    <t>MANTENIMIENTOS A LAS INSTALACIONES DE LA JUNTA LOCAL EJECUTIVA</t>
  </si>
  <si>
    <t>MANTENIMIENTO Y CONSERVACIÓN AL PARQUE VEHÍCULAR PROPIO</t>
  </si>
  <si>
    <t>MANTENIMIENTO A MAQUINARIA Y EQUIPO DE LA JUNTA LOCAL EJECUTIVA</t>
  </si>
  <si>
    <t>VIATICOS NACIONALES</t>
  </si>
  <si>
    <t>GASTOS DE ALIMENTACIÓN A SERVIDORES PÚBLICOS DE MANDO</t>
  </si>
  <si>
    <t>PEJAES Y VERIFICACIONES VEHICULARES</t>
  </si>
  <si>
    <t>EQUIPAMIENTO PARA LA SALA DE SESIONES (SILLONES)</t>
  </si>
  <si>
    <t>PAGO AGUA POTABLE DEL MEDIDOR ASIGNADO A LA JLE</t>
  </si>
  <si>
    <t>SERVICIO DE TELEFÓNO DE LÍNEAS ASIGNADAS A  LA JLE</t>
  </si>
  <si>
    <t>SERVICIO DE RENTA DE LA BODEGA ESTATAL</t>
  </si>
  <si>
    <t>PAGO SERVICIO DE VIGILANCIA</t>
  </si>
  <si>
    <t>SERVICIO DE LIMPIEZA A LAS INSTALACIONES DE LA JUNTA LOCAL EJECUTIVA</t>
  </si>
  <si>
    <t>SERVICIO DE FUMIGACION Y JARDINERIA A LAS INSTALACIONES DE LA JLE Y BODEGA ESTATAL</t>
  </si>
  <si>
    <t>ADQUISICION DE INDUMENTARIA ATENDIENDO SOLICITUD DE LA VRFE</t>
  </si>
  <si>
    <t>GASTOS DE CAMPO</t>
  </si>
  <si>
    <t>MEMORIA KINGSTON DE 64 GB KINGSTON</t>
  </si>
  <si>
    <t>MATERIALES Y ÚTILES DE OFICINA</t>
  </si>
  <si>
    <t>MATERIAL DE LIMPIEZA</t>
  </si>
  <si>
    <t>MATERIALES Y ÚTILES PARA EL PROCESAMIENTO EN EQUIPOS Y BIENES INFORMÁTICOS</t>
  </si>
  <si>
    <t>MATERIAL DE APOYO INFORMATIVO</t>
  </si>
  <si>
    <t>PRODUCTOS ALIMENTICIOS PARA EL PERSONAL QUE REALIZA LABORES DE CAMPO O DE SUPERVISIÓN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</si>
  <si>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</si>
  <si>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</si>
  <si>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</si>
  <si>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REFACCIONES Y ACCESORIOS MENORES DE EQUIPO DE TRANSPORTE</t>
  </si>
  <si>
    <t>MATERIALES, ACCESORIOS Y SUMINISTROS MÉDICOS</t>
  </si>
  <si>
    <t>COMBUSTIBLES, LUBRICANTES Y ADITIVOS</t>
  </si>
  <si>
    <t>HERRAMIENTAS MENORES</t>
  </si>
  <si>
    <t>REFACCIONES Y ACCESORIOS MENORES DE MOBILIARIO Y EQUIPO DE ADMINISTRACIÓN, EDUCACIONAL Y RECREATIVO</t>
  </si>
  <si>
    <t>SERVICIO POSTAL</t>
  </si>
  <si>
    <t>ARRENDAMIENTO DE MAQUINARIA Y EQUIPO</t>
  </si>
  <si>
    <t>SUBCONTRATACIÓN DE SERVICIOS CON TERCEROS</t>
  </si>
  <si>
    <t>SERVICIOS BANCARIOS Y FINANCIEROS</t>
  </si>
  <si>
    <t>FLETES Y MANIOBRAS</t>
  </si>
  <si>
    <t>MANTENIMIENTO Y CONSERVACION DE INMUEBLES</t>
  </si>
  <si>
    <t>MANTENIMIENTO Y CONSERVACION DE VEHÍCULOS TERRESTRES</t>
  </si>
  <si>
    <t>MANTENIMIENTO Y CONSERVACIÓN DE MAQUINARIA Y EQUIPO</t>
  </si>
  <si>
    <t>VIÁTICOS NACIONALES PARA SERVIDORES PÚBLICOS EN EL DESARROLLO DE SUS FUNCIONES OFICIALES</t>
  </si>
  <si>
    <t>GASTOS PARA ALIMENTACION A SERVIDORES PÚBLICOS DE MANDO</t>
  </si>
  <si>
    <t>OTROS IMPUESTOS Y DERECHOS</t>
  </si>
  <si>
    <t>MOBILIARIO</t>
  </si>
  <si>
    <t xml:space="preserve">SERVICIO DE AGUA </t>
  </si>
  <si>
    <t>SERVICIOS TELEFÓNICO</t>
  </si>
  <si>
    <t>SERVICIO DE ARRENDAMIENTO</t>
  </si>
  <si>
    <t>SERVICIO DE VIGILANCIA</t>
  </si>
  <si>
    <t>SERVICIO DE LIMPIEZA</t>
  </si>
  <si>
    <t>SERVICIO DE FUMIGACION Y JARDINERIA</t>
  </si>
  <si>
    <t>VESTUARIO Y UNIFORMES</t>
  </si>
  <si>
    <t>GASTOS PARA OPERATIVOS Y TRABAJOS EN CAMPO</t>
  </si>
  <si>
    <t>REFACCIONES Y ACCESORIOS PARA EQUIPO DE COMPUTO Y TELEFOCUMUNICACIONES.</t>
  </si>
  <si>
    <t>B00PE01</t>
  </si>
  <si>
    <t>Delegacional</t>
  </si>
  <si>
    <t>MS00</t>
  </si>
  <si>
    <t>Programa Inicial Anual de Adquisiciones, Arrendamientos y Servicios del INE  2023(PAAASINE)</t>
  </si>
  <si>
    <t>21100025-0015</t>
  </si>
  <si>
    <t>21100040-0005</t>
  </si>
  <si>
    <t>21100036-0001</t>
  </si>
  <si>
    <t>21100072-0010</t>
  </si>
  <si>
    <t>21100013-0022</t>
  </si>
  <si>
    <t>21100091-0001</t>
  </si>
  <si>
    <t>21100036-0002</t>
  </si>
  <si>
    <t>21100041-0047</t>
  </si>
  <si>
    <t>21100048-0001</t>
  </si>
  <si>
    <t>21100100-0002</t>
  </si>
  <si>
    <t>21100127-0003</t>
  </si>
  <si>
    <t>21100033-0015</t>
  </si>
  <si>
    <t>21100014-0017</t>
  </si>
  <si>
    <t>21100120-0009</t>
  </si>
  <si>
    <t>21100081-0010</t>
  </si>
  <si>
    <t>21100033-0006</t>
  </si>
  <si>
    <t>21100041-0055</t>
  </si>
  <si>
    <t>21100087-0013</t>
  </si>
  <si>
    <t>21100013-0013</t>
  </si>
  <si>
    <t>21101001-0067</t>
  </si>
  <si>
    <t>21100058-0002</t>
  </si>
  <si>
    <t>21100013-0025</t>
  </si>
  <si>
    <t>21100036-0011</t>
  </si>
  <si>
    <t>21100013-0005</t>
  </si>
  <si>
    <t>21101001-0217</t>
  </si>
  <si>
    <t>21100074-0013</t>
  </si>
  <si>
    <t>21100081-0031</t>
  </si>
  <si>
    <t>21100078-0005</t>
  </si>
  <si>
    <t>21100041-0067</t>
  </si>
  <si>
    <t>21100033-0029</t>
  </si>
  <si>
    <t>21100023-0002</t>
  </si>
  <si>
    <t>21100041-0063</t>
  </si>
  <si>
    <t>21100041-0049</t>
  </si>
  <si>
    <t>21100043-0001</t>
  </si>
  <si>
    <t>21100017-0003</t>
  </si>
  <si>
    <t>21100123-0008</t>
  </si>
  <si>
    <t>21100033-0038</t>
  </si>
  <si>
    <t>21100033-0014</t>
  </si>
  <si>
    <t>21100033-0005</t>
  </si>
  <si>
    <t>21100059-0002</t>
  </si>
  <si>
    <t>21100013-0030</t>
  </si>
  <si>
    <t>21100036-0009</t>
  </si>
  <si>
    <t>21100103-0001</t>
  </si>
  <si>
    <t>21100105-0003</t>
  </si>
  <si>
    <t>21100036-0010</t>
  </si>
  <si>
    <t>21100081-0033</t>
  </si>
  <si>
    <t>21100083-0009</t>
  </si>
  <si>
    <t>21101001-0396</t>
  </si>
  <si>
    <t>21100006-0004</t>
  </si>
  <si>
    <t>21100123-0010</t>
  </si>
  <si>
    <t>21100087-0017</t>
  </si>
  <si>
    <t>PAPEL BOND T/DOBLE CARTA C/500 HJS</t>
  </si>
  <si>
    <t>caja</t>
  </si>
  <si>
    <t>21100066-0004</t>
  </si>
  <si>
    <t>21100066-0007</t>
  </si>
  <si>
    <t>21100081-0067</t>
  </si>
  <si>
    <t>21101001-0169</t>
  </si>
  <si>
    <t>21100066-0003</t>
  </si>
  <si>
    <t>21100066-0012</t>
  </si>
  <si>
    <t>21100025-0009</t>
  </si>
  <si>
    <t>21100065-0001</t>
  </si>
  <si>
    <t>21100041-0079</t>
  </si>
  <si>
    <t>21100055-0003</t>
  </si>
  <si>
    <t>21100016-0001</t>
  </si>
  <si>
    <t>26102001-0019</t>
  </si>
  <si>
    <t>21100087-0021</t>
  </si>
  <si>
    <t>21100125-0003</t>
  </si>
  <si>
    <t>21100128-0009</t>
  </si>
  <si>
    <t>21100055-0007</t>
  </si>
  <si>
    <t>21101001-0120</t>
  </si>
  <si>
    <t>21100038-0002</t>
  </si>
  <si>
    <t>21100030-0001</t>
  </si>
  <si>
    <t>21101001-0189</t>
  </si>
  <si>
    <t>21100102-0003</t>
  </si>
  <si>
    <t>21100041-0005</t>
  </si>
  <si>
    <t>21100102-0004</t>
  </si>
  <si>
    <t>21100013-0026</t>
  </si>
  <si>
    <t>21101001-0248</t>
  </si>
  <si>
    <t>21100087-0012</t>
  </si>
  <si>
    <t>21101001-0349</t>
  </si>
  <si>
    <t>21100081-0101</t>
  </si>
  <si>
    <t>21100038-0003</t>
  </si>
  <si>
    <t>21101001-0119</t>
  </si>
  <si>
    <t>21100081-0041</t>
  </si>
  <si>
    <t>21100125-0005</t>
  </si>
  <si>
    <t>21100044-0002</t>
  </si>
  <si>
    <t>21101001-0009</t>
  </si>
  <si>
    <t>21601001-0016</t>
  </si>
  <si>
    <t>21601001-0017</t>
  </si>
  <si>
    <t>21400008-0002</t>
  </si>
  <si>
    <t>21400013-0367</t>
  </si>
  <si>
    <t>21401001-0573</t>
  </si>
  <si>
    <t>21400008-0006</t>
  </si>
  <si>
    <t>21401001-0155</t>
  </si>
  <si>
    <t>21400004-0003</t>
  </si>
  <si>
    <t>21400008-0001</t>
  </si>
  <si>
    <t>21601001-0106</t>
  </si>
  <si>
    <t>21601001-0092</t>
  </si>
  <si>
    <t>21601001-0094</t>
  </si>
  <si>
    <t>21601001-0066</t>
  </si>
  <si>
    <t>21601001-0006</t>
  </si>
  <si>
    <t>21601001-0065</t>
  </si>
  <si>
    <t>21600019-0002</t>
  </si>
  <si>
    <t>21501001-0002</t>
  </si>
  <si>
    <t>22103001-0003</t>
  </si>
  <si>
    <t>22104001-0075</t>
  </si>
  <si>
    <t>24600031-0001</t>
  </si>
  <si>
    <t>24601001-0381</t>
  </si>
  <si>
    <t>24600018-0014</t>
  </si>
  <si>
    <t>24601001-0175</t>
  </si>
  <si>
    <t>24600010-0014</t>
  </si>
  <si>
    <t>24600031-0007</t>
  </si>
  <si>
    <t>24600031-0015</t>
  </si>
  <si>
    <t>24901001-0047</t>
  </si>
  <si>
    <t>24901001-0017</t>
  </si>
  <si>
    <t>24900013-0001</t>
  </si>
  <si>
    <t>29600027-0037</t>
  </si>
  <si>
    <t>25401001-0142</t>
  </si>
  <si>
    <t>25401001-0139</t>
  </si>
  <si>
    <t>25401001-0140</t>
  </si>
  <si>
    <t>25401001-0153</t>
  </si>
  <si>
    <t>29100047-0004</t>
  </si>
  <si>
    <t>29301001-0078</t>
  </si>
  <si>
    <t>29301001-0034</t>
  </si>
  <si>
    <t>29401001-0078</t>
  </si>
  <si>
    <t>27100002-0001</t>
  </si>
  <si>
    <t>22104001-0068</t>
  </si>
  <si>
    <t>51101001-0110</t>
  </si>
  <si>
    <t>Delegacionales</t>
  </si>
  <si>
    <t>MS01</t>
  </si>
  <si>
    <t>N/A</t>
  </si>
  <si>
    <t>ADJUDICACIÓN DIRECTA</t>
  </si>
  <si>
    <t>21100013-0002</t>
  </si>
  <si>
    <t>BOLIGRAFO (VARIOS)</t>
  </si>
  <si>
    <t>PIEZA</t>
  </si>
  <si>
    <t>21100014-0022</t>
  </si>
  <si>
    <t>BORRADOR DE MIGAJON M-40</t>
  </si>
  <si>
    <t>21100039-0003</t>
  </si>
  <si>
    <t>CORRECTOR DE CINTA (MANUAL)</t>
  </si>
  <si>
    <t>21101001-0176</t>
  </si>
  <si>
    <t>PAPEL BOND T/OFICIO  C/500 hjs.</t>
  </si>
  <si>
    <t>21101001-0166</t>
  </si>
  <si>
    <t>CINTA DIUREX</t>
  </si>
  <si>
    <t>21101001-0086</t>
  </si>
  <si>
    <t>21101001-0087</t>
  </si>
  <si>
    <t>FOLDER T/OFICIO</t>
  </si>
  <si>
    <t>21100044-0001</t>
  </si>
  <si>
    <t>DESENGRAPADORA</t>
  </si>
  <si>
    <t>21101001-0242</t>
  </si>
  <si>
    <t>MARCATEXTO</t>
  </si>
  <si>
    <t>ROLLO</t>
  </si>
  <si>
    <t>22104001-0133</t>
  </si>
  <si>
    <t>CAFÉ DE GRANO BOLSA</t>
  </si>
  <si>
    <t>22104001-0069</t>
  </si>
  <si>
    <t>AZUCAR 2 KILO</t>
  </si>
  <si>
    <t>22104001-0093</t>
  </si>
  <si>
    <t>AZUCAR EN SOBRE CAJA</t>
  </si>
  <si>
    <t>22104001-0150</t>
  </si>
  <si>
    <t>TÉ CAJA</t>
  </si>
  <si>
    <t>22104001-0063</t>
  </si>
  <si>
    <t>REFRESCO EN LATA 12 PZA</t>
  </si>
  <si>
    <t>AGUA EN GARRAFON</t>
  </si>
  <si>
    <t>22104001-0090</t>
  </si>
  <si>
    <t>AGUA EMBOTELLADA 500 ML PAQUETE</t>
  </si>
  <si>
    <t>22104001-0087</t>
  </si>
  <si>
    <t>AGUA EMBOTELLADA 500 ML PIEZA</t>
  </si>
  <si>
    <t>24600025-0002</t>
  </si>
  <si>
    <t xml:space="preserve">FOCO </t>
  </si>
  <si>
    <t>24600025-0003</t>
  </si>
  <si>
    <t>24600025-0004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</si>
  <si>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</si>
  <si>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</si>
  <si>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</t>
  </si>
  <si>
    <t>REFACCIONES Y ACCESORIOS PARA EQUIPO DE CÓMPUTO Y TELECOMUNICACIONES</t>
  </si>
  <si>
    <t>29400013-0032</t>
  </si>
  <si>
    <t>MEMORIA FLASH USB DE 16 GB</t>
  </si>
  <si>
    <t>29400013-0033</t>
  </si>
  <si>
    <t>MEMORIA USB DE 32 GB</t>
  </si>
  <si>
    <t>SERVICIO TELEFÓNICO CONVENCIONAL</t>
  </si>
  <si>
    <t>-</t>
  </si>
  <si>
    <t>SERVICIO</t>
  </si>
  <si>
    <t>INE/SERVS/JLE-MOR/12/2022</t>
  </si>
  <si>
    <t>SERVICIO DE FOTOCOPIADO</t>
  </si>
  <si>
    <t>LICITACIÓN PUBLICA</t>
  </si>
  <si>
    <t>MANTENIMIENTO Y CONSERVACIÓN DE VEHÍCULOS</t>
  </si>
  <si>
    <t xml:space="preserve">VIÁTICOS NACIONALES </t>
  </si>
  <si>
    <t>MEDIO VIATICO</t>
  </si>
  <si>
    <t>SERVICIO DE AGUA</t>
  </si>
  <si>
    <t>ARRENDAMIENTO DE EDIFICIOS Y LOCALES</t>
  </si>
  <si>
    <t>01/2023</t>
  </si>
  <si>
    <t>SERVICIOS DE VIGILANCIA</t>
  </si>
  <si>
    <t>SERVICIOS DE LAVANDERÍA, LIMPIEZA E HIGIENE</t>
  </si>
  <si>
    <t>SERVICIOS DE LIMPIEZA</t>
  </si>
  <si>
    <t>INE/SERVS/JLEMOR/11/2022</t>
  </si>
  <si>
    <t>119</t>
  </si>
  <si>
    <t>B00CV01</t>
  </si>
  <si>
    <t>TOALLAS HUMEDAS DESINFECTANTES</t>
  </si>
  <si>
    <t>DESINFECTANTE LIQUIDO</t>
  </si>
  <si>
    <t>GEL ANTIBACTERIAL 500 ML</t>
  </si>
  <si>
    <t>25401001-0148</t>
  </si>
  <si>
    <t>GEL ANTIBACTERIAL 4 LITROS</t>
  </si>
  <si>
    <t>CUBREBOCAS KN95</t>
  </si>
  <si>
    <t>CUBREBOCAS TRICAPA</t>
  </si>
  <si>
    <t>GEL ANTIBACTERIAL 20 LITROS</t>
  </si>
  <si>
    <t>REFACCIONES Y ACCESORIOS MENORES OTROS BIENES MUEBLES</t>
  </si>
  <si>
    <t>TERMOMETRO DIGITAL INFRARROJO TIPO PISTOLA</t>
  </si>
  <si>
    <t>088</t>
  </si>
  <si>
    <t>SANITIZANTE LIQUIDO LITRO</t>
  </si>
  <si>
    <t>21100033-0003</t>
  </si>
  <si>
    <t>CINTA ADHESIVA SHURETAPE GRIS DE 48 X 50</t>
  </si>
  <si>
    <t>21100081-0026</t>
  </si>
  <si>
    <t>ETIQUETA ADHESIVA  19 X 38</t>
  </si>
  <si>
    <t>21101001-0354</t>
  </si>
  <si>
    <t>CINCHOS DE PLASTICO</t>
  </si>
  <si>
    <t>GRAPA PARA USO RUDO 1/2"</t>
  </si>
  <si>
    <t>21100072-0001</t>
  </si>
  <si>
    <t>LIGA</t>
  </si>
  <si>
    <t>24601001-0135</t>
  </si>
  <si>
    <t>CABLE USB</t>
  </si>
  <si>
    <t>24601001-0366</t>
  </si>
  <si>
    <t>CABLE ADAPTADOR DE VIDEO MINI DISPLAYPORT A HDMI</t>
  </si>
  <si>
    <t>24600024-0013</t>
  </si>
  <si>
    <t>CONECTOR RJ-45 8 PIN</t>
  </si>
  <si>
    <t>26102001-0006</t>
  </si>
  <si>
    <t>29401001-0028</t>
  </si>
  <si>
    <t>SWITCH RUTEADOR - GASTO</t>
  </si>
  <si>
    <t>29401001-0122</t>
  </si>
  <si>
    <t>29400015-0004</t>
  </si>
  <si>
    <t>MOUSE OPTICO</t>
  </si>
  <si>
    <t>02/2023</t>
  </si>
  <si>
    <t>SERVICIOS DE JARDINERÍA Y FUMIGACIÓN</t>
  </si>
  <si>
    <t>MS03</t>
  </si>
  <si>
    <t>Material de limpieza</t>
  </si>
  <si>
    <t>21601001-0067</t>
  </si>
  <si>
    <t>LIQUIDO DESINFECTANTE Y SANITIZANTE</t>
  </si>
  <si>
    <t>Adjudicación Directa</t>
  </si>
  <si>
    <t>Materiales, accesorios y suministros médicos</t>
  </si>
  <si>
    <t>CUBREBOCAS</t>
  </si>
  <si>
    <t>GEL ANTIBACTERIAL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</si>
  <si>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</si>
  <si>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</si>
  <si>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</si>
  <si>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IA3/INE/MS00/02/2022</t>
  </si>
  <si>
    <t>Servicios</t>
  </si>
  <si>
    <t>Invitación a cuando menos 3 persona</t>
  </si>
  <si>
    <t>Servicio telefónico convencional</t>
  </si>
  <si>
    <t>Servicio postal</t>
  </si>
  <si>
    <t>Arrendamiento de maquinaria y equipo</t>
  </si>
  <si>
    <t>IA3/INE/MS00/03/2022</t>
  </si>
  <si>
    <t>Mantenimiento y conservación de vehículos terrestres, aéreos, marítimos, lacustres y fluviales</t>
  </si>
  <si>
    <t>Otros impuestos y derechos</t>
  </si>
  <si>
    <t>Materiales y útiles de oficina</t>
  </si>
  <si>
    <t>21100087-0015</t>
  </si>
  <si>
    <t>PAPEL BOND T/CARTA C/5000 hjs.</t>
  </si>
  <si>
    <t>21101001-0063</t>
  </si>
  <si>
    <t>Sobre bolsa Tamaño Carta / paq. 50 pzas.</t>
  </si>
  <si>
    <t>21101001-0234</t>
  </si>
  <si>
    <t>Pluma / Punto Mediano / Azul</t>
  </si>
  <si>
    <t>Pluma / Punto Mediano / Negro</t>
  </si>
  <si>
    <t>21100092-0006</t>
  </si>
  <si>
    <t>Pegamento Blanco /225 grs</t>
  </si>
  <si>
    <t>Cinta adhesiva 3 M Scotch 19 x 65 mm</t>
  </si>
  <si>
    <t>Clip Básico #1 c /10 pzas</t>
  </si>
  <si>
    <t>Clip Básico #2 C /10 pzas</t>
  </si>
  <si>
    <t>Grapa Estándar caja c / 5000</t>
  </si>
  <si>
    <t>21100036-0008</t>
  </si>
  <si>
    <t>Sujetadocumentos 19 mm</t>
  </si>
  <si>
    <t>21101001-0006</t>
  </si>
  <si>
    <t>Marcador Sharpee Rojo</t>
  </si>
  <si>
    <t>21100081-0012</t>
  </si>
  <si>
    <t>BLOCK DE NOTAS POST-IT DE COLORES</t>
  </si>
  <si>
    <t>Marcador Sharpee Negro</t>
  </si>
  <si>
    <t>21100094-0001</t>
  </si>
  <si>
    <t>PERFORADORA DOBLE ORIFICIO</t>
  </si>
  <si>
    <t>Engrapadora de golpe Tira completa</t>
  </si>
  <si>
    <t>21100006-0005</t>
  </si>
  <si>
    <t>Lupa</t>
  </si>
  <si>
    <t>21100033-0018</t>
  </si>
  <si>
    <t>CINTA DIUREX 48 X 50</t>
  </si>
  <si>
    <t>REGISTRADOR  LEFORT T/CARTA</t>
  </si>
  <si>
    <t>21100104-0001</t>
  </si>
  <si>
    <t>PORTA LAPIZ</t>
  </si>
  <si>
    <t>21101001-0164</t>
  </si>
  <si>
    <t>GOMA DE BORRAR</t>
  </si>
  <si>
    <t>Materiales y útiles para el procesamiento en equipos y bienes informáticos</t>
  </si>
  <si>
    <t>21400013-0302</t>
  </si>
  <si>
    <t>TONER PARA IMPRESORA LASER JET HP Q3964A</t>
  </si>
  <si>
    <t>Compra Menor</t>
  </si>
  <si>
    <t>AIRE COMPRIMIDO PROPELENTE</t>
  </si>
  <si>
    <t>21601001-0013</t>
  </si>
  <si>
    <t>PAPEL HIGIENICO</t>
  </si>
  <si>
    <t>21600022-0009</t>
  </si>
  <si>
    <t>JABON LIQUIDO P/UTENCILIOS DE COCINA</t>
  </si>
  <si>
    <t>TOALLA INTERDOBLADA</t>
  </si>
  <si>
    <t>Productos alimenticios para el personal en las instalaciones de las Unidades Responsables</t>
  </si>
  <si>
    <t>22104001-0154</t>
  </si>
  <si>
    <t>GARRAFON  DE AGUA 20 LTS</t>
  </si>
  <si>
    <t>R009</t>
  </si>
  <si>
    <t>067</t>
  </si>
  <si>
    <t>Combustibles, lubricantes y aditivos para maquinaria, equipo de producción y servicios administrativos</t>
  </si>
  <si>
    <t>26105001-0008</t>
  </si>
  <si>
    <t>GAS LP (SUMINISTRO )</t>
  </si>
  <si>
    <t>Refacciones y Accesorios para Equipo de Cómputo y
Telecomunicaciones</t>
  </si>
  <si>
    <t>29400027-0015</t>
  </si>
  <si>
    <t>TECLADO USB</t>
  </si>
  <si>
    <t>29401001-0047</t>
  </si>
  <si>
    <t>CAMARA WEB - GASTO</t>
  </si>
  <si>
    <t>29901001-0017</t>
  </si>
  <si>
    <t>AUDIFONOS - GASTO</t>
  </si>
  <si>
    <t>Refacciones y accesorios menores de equipo de transporte</t>
  </si>
  <si>
    <t>29601001-0105</t>
  </si>
  <si>
    <t>LLANTA 165/60 R14</t>
  </si>
  <si>
    <t>Arrendamiento de edificios y locales</t>
  </si>
  <si>
    <t>Servicio de Arrendamiento de Inmueble</t>
  </si>
  <si>
    <t>INE/JDE03/MOR/01/2023</t>
  </si>
  <si>
    <t>Servicios de vigilancia</t>
  </si>
  <si>
    <t>Servicio de Vigilancia</t>
  </si>
  <si>
    <t>IA3/INE/MS00/04/2022</t>
  </si>
  <si>
    <t>Servicios de lavandería, limpieza e higiene</t>
  </si>
  <si>
    <t>IA3/INE/MS00/01/2022</t>
  </si>
  <si>
    <t>Servicio de agua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</si>
  <si>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</si>
  <si>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</si>
  <si>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045</t>
  </si>
  <si>
    <t>21101001-0074</t>
  </si>
  <si>
    <t>MINI ALMOHADILLA TAMPON PARA HUELLAS DACTILARES</t>
  </si>
  <si>
    <t>21100127-0004</t>
  </si>
  <si>
    <t>TIJERA DEL  # 7</t>
  </si>
  <si>
    <t>SUJETADOR DE DOCUMENTOS PRES. CHICO</t>
  </si>
  <si>
    <t>21401001-0617</t>
  </si>
  <si>
    <t>BOTELLA DE TINTA MAGENTA PARA IMPRESORA EPSON 544</t>
  </si>
  <si>
    <t>21400013-0423</t>
  </si>
  <si>
    <t>TONER IMPRESORA LEXMARK NEGRO</t>
  </si>
  <si>
    <t>21401001-0049</t>
  </si>
  <si>
    <t>DISCO COMPACTO CD-R</t>
  </si>
  <si>
    <t>TORRE</t>
  </si>
  <si>
    <t>21600022-0011</t>
  </si>
  <si>
    <t>JABON P/MANOS  ( SHAMPOO )</t>
  </si>
  <si>
    <t>Material eléctrico y electrónico</t>
  </si>
  <si>
    <t>FOCO DE  25 w.</t>
  </si>
  <si>
    <t>Material Eléctrico y Electrónico</t>
  </si>
  <si>
    <t>24601001-0174</t>
  </si>
  <si>
    <t>EXTENSION ELECTRICA 15 M</t>
  </si>
  <si>
    <t>24601001-0326</t>
  </si>
  <si>
    <t>BATERIA ALCALINA  TAMAÑO AAA</t>
  </si>
  <si>
    <t>24601001-0327</t>
  </si>
  <si>
    <t>BATERIA ALCALINA AA TAMAÑO AA</t>
  </si>
  <si>
    <t>24601001-0211</t>
  </si>
  <si>
    <t>SOCKET LADRON</t>
  </si>
  <si>
    <t>Otros materiales y Artículos de Construcción y Reparación</t>
  </si>
  <si>
    <t>CINTA METALICA PARA DUCTOS</t>
  </si>
  <si>
    <t>B00OM02</t>
  </si>
  <si>
    <t>Mantenimiento y conservación de mobiliario y equipo de administración</t>
  </si>
  <si>
    <t>Realizar actividades operativas del Módulo de Atención Ciudadana de la 03 Junta Distrital Ejecutiva</t>
  </si>
  <si>
    <t>Difusión de mensajes sobre programas y actividades Institucionales</t>
  </si>
  <si>
    <t>Viáticos Nacionales para Servidores Públicos en el Desempeño de Funciones Oficiales</t>
  </si>
  <si>
    <t>Viáticos nacionales para servidores públicos en el desempeño de funciones oficiales</t>
  </si>
  <si>
    <t>Gastos para Operativos y Trabajos de Campo.</t>
  </si>
  <si>
    <t>Gastos para operativos y trabajos de campo en áreas rurales</t>
  </si>
  <si>
    <t>Servicio</t>
  </si>
  <si>
    <t>33901</t>
  </si>
  <si>
    <t>Subcontratación de Servicios con Terceros.</t>
  </si>
  <si>
    <t>COMISIÓN DEL SERVICIO DE DISPERSIÓN DE COMBUSTIBLE A TRAVÉS DE MONEDERO ELECTRÓNICO.</t>
  </si>
  <si>
    <t>Materiales, Accesorios y Suministros Médicos</t>
  </si>
  <si>
    <t>Material de Limpieza</t>
  </si>
  <si>
    <t>21600006-0020</t>
  </si>
  <si>
    <t>BOLSA DE PLASTICO P/BASURA 50X70</t>
  </si>
  <si>
    <t>21601001-0116</t>
  </si>
  <si>
    <t>TRAPO MICROFIBRA</t>
  </si>
  <si>
    <t>21600018-0005</t>
  </si>
  <si>
    <t>FRANELA</t>
  </si>
  <si>
    <t>METRO</t>
  </si>
  <si>
    <t>21600022-0004</t>
  </si>
  <si>
    <t>JABON DETERGENTE EN POLVO  1 kg.</t>
  </si>
  <si>
    <t>21600023-0001</t>
  </si>
  <si>
    <t>JALADOR DE HULE ( CHICO )</t>
  </si>
  <si>
    <t>21601001-0111</t>
  </si>
  <si>
    <t>GUANTES DE HULE P/LIMPIEZA</t>
  </si>
  <si>
    <t>21601001-0007</t>
  </si>
  <si>
    <t>PIEDRA POMEZ</t>
  </si>
  <si>
    <t>39202</t>
  </si>
  <si>
    <t>21601001-0002</t>
  </si>
  <si>
    <t>Cloro</t>
  </si>
  <si>
    <t>21601001-0117</t>
  </si>
  <si>
    <t>Jabón líquido</t>
  </si>
  <si>
    <t>21601001-0036</t>
  </si>
  <si>
    <t>GEL SANITIZANTE PARA MANOS</t>
  </si>
  <si>
    <t>SILICÓN</t>
  </si>
  <si>
    <t>29401001-0219</t>
  </si>
  <si>
    <t>CABLE DE RED</t>
  </si>
  <si>
    <t>BOOCA01</t>
  </si>
  <si>
    <t>04 Junta Distrital Ejecutiva</t>
  </si>
  <si>
    <t>MS04</t>
  </si>
  <si>
    <t>21101001-0376</t>
  </si>
  <si>
    <t>VASOS DE CARTON</t>
  </si>
  <si>
    <t>21101001-0392</t>
  </si>
  <si>
    <t>BOLIGRAFO PUNTO FINO</t>
  </si>
  <si>
    <t>21101001-0398</t>
  </si>
  <si>
    <t>ESPIRAL/P ENGARGOLAR DE 3/8 PULGADAS</t>
  </si>
  <si>
    <t>21101001-0399</t>
  </si>
  <si>
    <t>ESPIRAL/P ENGARGOLAR DE 1/2 PULGADAS</t>
  </si>
  <si>
    <t>21100033-0033</t>
  </si>
  <si>
    <t>CINTA MASKING TAPE  18 X 50</t>
  </si>
  <si>
    <t>21100041-0045</t>
  </si>
  <si>
    <t>LIBRETA PROFESIONAL CUADRO CHICO 100 hjs.</t>
  </si>
  <si>
    <t>21100045-0001</t>
  </si>
  <si>
    <t>DESPACHADOR DE CINTA CANELA</t>
  </si>
  <si>
    <t>21100078-0004</t>
  </si>
  <si>
    <t>PAPEL P/ROTAFOLIO</t>
  </si>
  <si>
    <t>21100123-0007</t>
  </si>
  <si>
    <t>SOBRE BOLSA T/LEGAL S/IMP.</t>
  </si>
  <si>
    <t>Materialesyútiles para el procesamiento en equipos y bienes informáticos</t>
  </si>
  <si>
    <t xml:space="preserve">Material de limpieza </t>
  </si>
  <si>
    <t>21600001-0002</t>
  </si>
  <si>
    <t>ACEITE ABRILLANTADOR P/MUEBLES</t>
  </si>
  <si>
    <t>21600004-0001</t>
  </si>
  <si>
    <t>BOMBA P/DESTAPAR CAÑOS</t>
  </si>
  <si>
    <t>21600005-0003</t>
  </si>
  <si>
    <t>CUBETA DE PLASTICO 15 LTS.</t>
  </si>
  <si>
    <t>21600005-0005</t>
  </si>
  <si>
    <t>CUBETA DE PLASTICO 4 LTS.</t>
  </si>
  <si>
    <t>21600008-0009</t>
  </si>
  <si>
    <t>PASTILLA DESODORANTE PATO PURIFIC</t>
  </si>
  <si>
    <t>21600012-0003</t>
  </si>
  <si>
    <t>ESCOBA DE PLASTICO TIPO  CEPILLO PLUS</t>
  </si>
  <si>
    <t>21600013-0005</t>
  </si>
  <si>
    <t>CEPILLO DE PLASTICO CHICO  C/PLANCHA</t>
  </si>
  <si>
    <t>21600018-0009</t>
  </si>
  <si>
    <t>JERGA</t>
  </si>
  <si>
    <t>21600023-0002</t>
  </si>
  <si>
    <t>JALADOR DE HULE ( GRANDE )</t>
  </si>
  <si>
    <t>21600031-0001</t>
  </si>
  <si>
    <t>RECOGEDOR DE LAMINA Y PLASTICO</t>
  </si>
  <si>
    <t>21600032-0002</t>
  </si>
  <si>
    <t>TRAPEADOR TIPO MECHUDO</t>
  </si>
  <si>
    <t>21601001-0021</t>
  </si>
  <si>
    <t>JICARA DE PLASTICO</t>
  </si>
  <si>
    <t>21601001-0041</t>
  </si>
  <si>
    <t>EMBUDO DE PLASTICO</t>
  </si>
  <si>
    <t>Productos alimenticiospara el personal en las instalaciones de las Unidades Responsables</t>
  </si>
  <si>
    <t>22104001-0070</t>
  </si>
  <si>
    <t>CAFÉ DE GRANO</t>
  </si>
  <si>
    <t>22104001-0076</t>
  </si>
  <si>
    <t>AGUA EMBOTELLADA</t>
  </si>
  <si>
    <t>22104001-0083</t>
  </si>
  <si>
    <t>PALOMITAS</t>
  </si>
  <si>
    <t>22104001-0100</t>
  </si>
  <si>
    <t>CREMA EN POLVO</t>
  </si>
  <si>
    <t>22104001-0145</t>
  </si>
  <si>
    <t>SALSA BOTANERA</t>
  </si>
  <si>
    <t>TE SURTIDO</t>
  </si>
  <si>
    <t>22104001-0158</t>
  </si>
  <si>
    <t>GALLETAS</t>
  </si>
  <si>
    <t>Medicinas y productos farmacéuticos</t>
  </si>
  <si>
    <t>25301001-0033</t>
  </si>
  <si>
    <t>PARACETAMOL TABLETAS</t>
  </si>
  <si>
    <t>25301001-0049</t>
  </si>
  <si>
    <t>BUTILHIOSCINA 10 MG</t>
  </si>
  <si>
    <t>25301001-0065</t>
  </si>
  <si>
    <t>AVAPENA GRAGEAS</t>
  </si>
  <si>
    <t>25301001-0115</t>
  </si>
  <si>
    <t>IBUPROFENO</t>
  </si>
  <si>
    <t>25301001-0053</t>
  </si>
  <si>
    <t>OMEPRAZOL 20 MG</t>
  </si>
  <si>
    <t>25300012-0001</t>
  </si>
  <si>
    <t>ALKASELTZER C/12 TAB</t>
  </si>
  <si>
    <t>25300001-0002</t>
  </si>
  <si>
    <t>SAL DE UVAS C/12</t>
  </si>
  <si>
    <t>25300001-0003</t>
  </si>
  <si>
    <t>TABCIN EFERVECENTE C/12</t>
  </si>
  <si>
    <t>25300002-0029</t>
  </si>
  <si>
    <t>XL-3</t>
  </si>
  <si>
    <t>25301001-0055</t>
  </si>
  <si>
    <t>SYNCOL</t>
  </si>
  <si>
    <t>25300002-0001</t>
  </si>
  <si>
    <t>BUSCAPINA TAB.</t>
  </si>
  <si>
    <t>Combustibles,   lubricantes   y   aditivos   para   vehículos   terrestres,   aéreos, marítimos,  lacustres  y  fluviales  destinados  a  servicios  públicos  y la  operación de programas públicos</t>
  </si>
  <si>
    <t>PESOS</t>
  </si>
  <si>
    <t>26102</t>
  </si>
  <si>
    <t>26102001-0021</t>
  </si>
  <si>
    <t>LIQUIDO DE FRENOS</t>
  </si>
  <si>
    <t>26102001-0023</t>
  </si>
  <si>
    <t>ANTICONGELANTE</t>
  </si>
  <si>
    <t>27101</t>
  </si>
  <si>
    <t>Vestuario y uniformes</t>
  </si>
  <si>
    <t>27100013-0005</t>
  </si>
  <si>
    <t>PLAYERA TIPO POLO PREMIUM</t>
  </si>
  <si>
    <t>29600026-0001</t>
  </si>
  <si>
    <t>LIMPIA PARABRISAS (PLUMA)</t>
  </si>
  <si>
    <t>29601</t>
  </si>
  <si>
    <t>29601001-0006</t>
  </si>
  <si>
    <t>LLANTA</t>
  </si>
  <si>
    <t>Servicio Telefónico Convencional</t>
  </si>
  <si>
    <t>SERVICIO TELEFONICO CONVENCIONAL</t>
  </si>
  <si>
    <t xml:space="preserve">SERVICIO DE FOTOCOPIADO </t>
  </si>
  <si>
    <t>Subcontratación de Servicios con Terceros</t>
  </si>
  <si>
    <t>COMISIONES POR DISPERSION DE MONEDERO ELECTRICO DE COMBUSTIBLE</t>
  </si>
  <si>
    <t>Mantenimiento y Conservación de Mobiliario y Equipo de Administración</t>
  </si>
  <si>
    <t>MANTENIMIENTO PREVENTIVO A EQUIPOS DE AIRE ACONDICIONADO</t>
  </si>
  <si>
    <t>Mantenimiento y Conservación de Vehículos Terrestres, Aéreos, Marítimos,
Lacustres y Fluviales</t>
  </si>
  <si>
    <t>MANTENIMIENTO PREVENTIVO A VEHICULOS PROPIEDAD INE</t>
  </si>
  <si>
    <t>Servicios de jardinería y fumigación</t>
  </si>
  <si>
    <t>SERVICIO DE FUMIGACION DE LAS INSTALACIONES DE LA JUNTA.</t>
  </si>
  <si>
    <t>Otros Impuestos y Derechos</t>
  </si>
  <si>
    <t xml:space="preserve">PEAJES Y VERIFICACION VEHICULAR </t>
  </si>
  <si>
    <t>Arrendamiento De Edificios Y Locales</t>
  </si>
  <si>
    <t>RENTA DEL INMUEBLE DE LA 04 JUNTA DISTRITAL EJECUTIVA.</t>
  </si>
  <si>
    <t>Servicios De Vigilancia</t>
  </si>
  <si>
    <t>SERVICIO DE VIGILANCIA DE LAS INSTALACIONES DE LA 04 JUNTA DISTRITAL EJECUTIVA.</t>
  </si>
  <si>
    <t>Servicios De Lavandería, Limpieza E Higiene</t>
  </si>
  <si>
    <t>SERVICIO DE LIMPIEZA DE LAS INSTALACIONES DE LA 04 JUNTA DISTRITAL EJECUTIVA.</t>
  </si>
  <si>
    <t>21600008-0004</t>
  </si>
  <si>
    <t>DESODORANTE AMBIENTAL (AEROSOL)</t>
  </si>
  <si>
    <t>21600002-0001</t>
  </si>
  <si>
    <t>ATOMIZADOR DE PLASTICO KLINTEX 1/2, REFORZADO</t>
  </si>
  <si>
    <t>21601001-0023</t>
  </si>
  <si>
    <t>CLORO 1 LITRO CLORALEX C/12 L</t>
  </si>
  <si>
    <t>21601001-0024</t>
  </si>
  <si>
    <t>FABULOSO LIMPIADOR LIQUIDO C/12 L</t>
  </si>
  <si>
    <t>21600010-0004</t>
  </si>
  <si>
    <t>DETERGENTE EN POLVO K ROMA</t>
  </si>
  <si>
    <t>21600022-0016</t>
  </si>
  <si>
    <t>JABON P/MANOS (SHAMPOO) 1 GALON</t>
  </si>
  <si>
    <t>21601001-0026</t>
  </si>
  <si>
    <t>TOALLA DE MICROFIBRA 40 X 40</t>
  </si>
  <si>
    <t>21601001-0040</t>
  </si>
  <si>
    <t>PAÑO PARA LIMPIEZA DE EQUIPO ELECTRONICO</t>
  </si>
  <si>
    <t>21601001-0085</t>
  </si>
  <si>
    <t>BOTE DE BASURA</t>
  </si>
  <si>
    <t>21601001-0086</t>
  </si>
  <si>
    <t>DISPENSADOR DE GEL ANTI BACTERIAL AUTOMÁTICO</t>
  </si>
  <si>
    <t>SANITIZANTE LIQUIDO</t>
  </si>
  <si>
    <t>21601001-0061</t>
  </si>
  <si>
    <t>DOSIFICADOR C/BOTELLA DE PLASTICO</t>
  </si>
  <si>
    <t>25301001-0280</t>
  </si>
  <si>
    <t>ALCOHOL ETILICO AL 96%</t>
  </si>
  <si>
    <t xml:space="preserve">Materiales, Accesorios ySuministros Médicos. </t>
  </si>
  <si>
    <t>25401001-0147</t>
  </si>
  <si>
    <t>TERMOMETRO DIGITAL</t>
  </si>
  <si>
    <t>25401001-0152</t>
  </si>
  <si>
    <t>GUANTES  ESTERIL</t>
  </si>
  <si>
    <t>25401</t>
  </si>
  <si>
    <t>25401001-0193</t>
  </si>
  <si>
    <t>CARETA PROTECTORA</t>
  </si>
  <si>
    <t>25401001-0205</t>
  </si>
  <si>
    <t>OXIMETRO DE DEDO</t>
  </si>
  <si>
    <t>04 JUNTA DISTRITAL EJECUTIVA</t>
  </si>
  <si>
    <t>21100004-0001</t>
  </si>
  <si>
    <t>AGENDA EJECUTIVA</t>
  </si>
  <si>
    <t>21100013-0006</t>
  </si>
  <si>
    <t>BOLIGRAFO TINTA NEGRO</t>
  </si>
  <si>
    <t>21100013-0007</t>
  </si>
  <si>
    <t>BOLIGRAFO TINTA ROJO</t>
  </si>
  <si>
    <t>21100013-0027</t>
  </si>
  <si>
    <t>MARCATEXTO NARANJA</t>
  </si>
  <si>
    <t>21100013-0031</t>
  </si>
  <si>
    <t>MARCATEXTO VERDE</t>
  </si>
  <si>
    <t>21100083-0001</t>
  </si>
  <si>
    <t>PAÑUELOS KLEENEX C/100 hjs.</t>
  </si>
  <si>
    <t xml:space="preserve">Mantenimiento y Conservación de Mobiliario y Equipo de 
Administración. </t>
  </si>
  <si>
    <t>MANTENIMIENTO DEL AIRE ACONDICIONADO</t>
  </si>
  <si>
    <t>21100011-0014</t>
  </si>
  <si>
    <t>BOLSA DE PLASTICO TRANSP. 35 X 45</t>
  </si>
  <si>
    <t>21100013-0004</t>
  </si>
  <si>
    <t>BOLIGRAFO PUNTO MEDIANO</t>
  </si>
  <si>
    <t>21100013-0019</t>
  </si>
  <si>
    <t>MARCADOR TINTA PERMANENTE AZUL</t>
  </si>
  <si>
    <t>21100013-0023</t>
  </si>
  <si>
    <t>MARCADOR TINTA PERMANENTE ROJO</t>
  </si>
  <si>
    <t>21100114-0011</t>
  </si>
  <si>
    <t>REGLA METALICA   30cm.</t>
  </si>
  <si>
    <t>21100125-0004</t>
  </si>
  <si>
    <t>TABLA PORTAPAPEL EN MADERA T/OFICIO</t>
  </si>
  <si>
    <t>25401001-0181</t>
  </si>
  <si>
    <t>OXIMETRO DE PULSO</t>
  </si>
  <si>
    <t>21100011-0030</t>
  </si>
  <si>
    <t>SOBRE BOLSA DE PLASTICO T/CARTA S/VENT</t>
  </si>
  <si>
    <t>21100011-0032</t>
  </si>
  <si>
    <t>SOBRE BOLSA DE PLASTICO T/OFICIO S/VENT</t>
  </si>
  <si>
    <t>21100013-0003</t>
  </si>
  <si>
    <t>21100013-0018</t>
  </si>
  <si>
    <t>MARCADOR PARA PINTARRON</t>
  </si>
  <si>
    <t>21100013-0024</t>
  </si>
  <si>
    <t>MARCADOR TINTA PERMANENTE VERDE</t>
  </si>
  <si>
    <t>21100014-0006</t>
  </si>
  <si>
    <t>BORRADOR DE MIGAJON M-20</t>
  </si>
  <si>
    <t>21100017-0002</t>
  </si>
  <si>
    <t>CAJA DE ARCHIVO MUERTO T/CARTA</t>
  </si>
  <si>
    <t>21100031-0001</t>
  </si>
  <si>
    <t>CHAROLA ORGANITODO</t>
  </si>
  <si>
    <t>21100031-0002</t>
  </si>
  <si>
    <t>ORGANITODO GIRATORIO P/ESCRITORIO</t>
  </si>
  <si>
    <t>21100033-0004</t>
  </si>
  <si>
    <t>CINTA CANELA 12 X 50</t>
  </si>
  <si>
    <t>21100033-0010</t>
  </si>
  <si>
    <t>CINTA DIUREX 12 X 33</t>
  </si>
  <si>
    <t>21100033-0035</t>
  </si>
  <si>
    <t>CINTA MASKING TAPE  24 X 50</t>
  </si>
  <si>
    <t>21100036-0005</t>
  </si>
  <si>
    <t>CLIP MARIPOSA  # 2</t>
  </si>
  <si>
    <t>21100036-0013</t>
  </si>
  <si>
    <t>CINTURON DE PLASTICO (CINCHO DE SEGURIDAD P/ENVOLTURA Y/O  MARCHAMOS DE PLOMO PARA ENVOLTURA)</t>
  </si>
  <si>
    <t>21100040-0004</t>
  </si>
  <si>
    <t>CORRECTOR LIQUIDO (ESCOBETILLA)</t>
  </si>
  <si>
    <t>21100041-0039</t>
  </si>
  <si>
    <t>LIBRETA F/FRANCESA PASTA DURA</t>
  </si>
  <si>
    <t>21100045-0004</t>
  </si>
  <si>
    <t>DESPACHADOR P/CINTA DIUREX 24 X 65</t>
  </si>
  <si>
    <t>21100055-0002</t>
  </si>
  <si>
    <t>CUTTER CHICO</t>
  </si>
  <si>
    <t>21100072-0003</t>
  </si>
  <si>
    <t>LIGAS NUMERO  18</t>
  </si>
  <si>
    <t>21100079-0001</t>
  </si>
  <si>
    <t>PAPEL CARBON T/CARTA</t>
  </si>
  <si>
    <t>21100081-0001</t>
  </si>
  <si>
    <t>BANDERITAS POST-IT (VARIAS)</t>
  </si>
  <si>
    <t>21100081-0053</t>
  </si>
  <si>
    <t>ETIQUETA ADHESIVA T/CARTA</t>
  </si>
  <si>
    <t>PAPEL BOND T/DOBLE CARTA C/500 hjs.</t>
  </si>
  <si>
    <t>21100087-0022</t>
  </si>
  <si>
    <t>PAPEL BOND T/OFICIO  C/5000 hjs.</t>
  </si>
  <si>
    <t>21100101-0001</t>
  </si>
  <si>
    <t>PORTA CLIPS</t>
  </si>
  <si>
    <t>21100120-0017</t>
  </si>
  <si>
    <t>SEPARADOR DE PLASTICO T/CARTA</t>
  </si>
  <si>
    <t>21100120-0019</t>
  </si>
  <si>
    <t>SEPARADOR DE PLASTICO T/OFICIO</t>
  </si>
  <si>
    <t>21100124-0005</t>
  </si>
  <si>
    <t>SOBRE ORDINARIO T/CARTA C/VENTANA</t>
  </si>
  <si>
    <t>21100127-0005</t>
  </si>
  <si>
    <t>TIJERA DEL  # 8</t>
  </si>
  <si>
    <t>21100128-0007</t>
  </si>
  <si>
    <t>TINTA P/SELLO DE GOMA (AZUL)</t>
  </si>
  <si>
    <t>21100128-0008</t>
  </si>
  <si>
    <t>TINTA P/SELLO DE GOMA (ROJO)</t>
  </si>
  <si>
    <t>21101001-0082</t>
  </si>
  <si>
    <t>PAPEL OPALINA T/C</t>
  </si>
  <si>
    <t>FOLDER T/C</t>
  </si>
  <si>
    <t>FOLDER T/O</t>
  </si>
  <si>
    <t>21101001-0025</t>
  </si>
  <si>
    <t>ARILLO METALICO 3/8"</t>
  </si>
  <si>
    <t>21101001-0026</t>
  </si>
  <si>
    <t>ARILLO METALICO 5/16"</t>
  </si>
  <si>
    <t>21401001-0531</t>
  </si>
  <si>
    <t>CARTUCHO DE TONER PARA MULTIFUNCIONAL KYOCERA MOD. ECOSYS M4125 idn N/P TK-6117</t>
  </si>
  <si>
    <t>21600008-0003</t>
  </si>
  <si>
    <t>AROMATIZANTE DE AMBIENTE EN SPRAY GLADE</t>
  </si>
  <si>
    <t>21600022-0017</t>
  </si>
  <si>
    <t>JABON P/MANOS (SHAMPOO) 1 LITRO</t>
  </si>
  <si>
    <t>21601001-0063</t>
  </si>
  <si>
    <t>BOLSA BIODEGRADABLE 90 X 120 CM</t>
  </si>
  <si>
    <t>21601001-0101</t>
  </si>
  <si>
    <t>TERMOMETRO DIGITAL C/PEDESTAL</t>
  </si>
  <si>
    <t>21601001-0088</t>
  </si>
  <si>
    <t>DESPACHADOR AUTOMATICO P/GEL CON PEDESTAL</t>
  </si>
  <si>
    <t>21601001-0084</t>
  </si>
  <si>
    <t>DESPACHADOR INDIVIDUAL P/GEL</t>
  </si>
  <si>
    <t>22104001-0074</t>
  </si>
  <si>
    <t>GALLETAS GABI EXPLOSION DE TARTAS SURTIDO RICO PAQUETE GRANDE DE 1.008 KG CON 28 PAQUETITOS DE 2 PIEZAS C/U (SURTIDO ESPECIAL)</t>
  </si>
  <si>
    <t>PZAS</t>
  </si>
  <si>
    <t>22104001-0072</t>
  </si>
  <si>
    <t>22104001-0073</t>
  </si>
  <si>
    <t>CAFÉ SOLUBLE</t>
  </si>
  <si>
    <t>AZUCAR</t>
  </si>
  <si>
    <t>KILOGRÁMO</t>
  </si>
  <si>
    <t>22104001-0130</t>
  </si>
  <si>
    <t>PISTACHES</t>
  </si>
  <si>
    <t>22104001-0131</t>
  </si>
  <si>
    <t>FRUTAS SECOS</t>
  </si>
  <si>
    <t>22104001-0134</t>
  </si>
  <si>
    <t>ARANDANOS</t>
  </si>
  <si>
    <t>24601001-0178</t>
  </si>
  <si>
    <t>FOCO AHORRADOR 27 W</t>
  </si>
  <si>
    <t>24601001-0318</t>
  </si>
  <si>
    <t>CARGADOR USB</t>
  </si>
  <si>
    <t>24601</t>
  </si>
  <si>
    <t>PILA RECARGABLE AA</t>
  </si>
  <si>
    <t>24600031-0019</t>
  </si>
  <si>
    <t>PILA RECARGABLE AAA</t>
  </si>
  <si>
    <t>24601001-0363</t>
  </si>
  <si>
    <t>CARGADOR DE BATERIA AA, AAA, C Y D</t>
  </si>
  <si>
    <t>pesos</t>
  </si>
  <si>
    <t>Refacciones y accesorios para equipo de cómputo y telecomunicaciones</t>
  </si>
  <si>
    <t>29401</t>
  </si>
  <si>
    <t>29400015-0001</t>
  </si>
  <si>
    <t>MOUSE (RATON ACCESORIO DE COMPUTACION)</t>
  </si>
  <si>
    <t>29401001-0212</t>
  </si>
  <si>
    <t>MEMORIA DE ALMACENAMIENTO</t>
  </si>
  <si>
    <t>29901</t>
  </si>
  <si>
    <t>Refacciones y accesorios menores otros bienes muebles</t>
  </si>
  <si>
    <t>29901001-0123</t>
  </si>
  <si>
    <t>CAJA ORGANIZADORA</t>
  </si>
  <si>
    <t>RENTA DEL INMUEBLE DE LOS MODULOS DE ATENCION CIUDADANA</t>
  </si>
  <si>
    <t>02/2022 Y 01/2023</t>
  </si>
  <si>
    <t>Impresión y Elaboración de Material Informativo Derivado de la 
Operación y Administración de las Unidades Responsables.</t>
  </si>
  <si>
    <t>CARTELES Y LONAS MAC</t>
  </si>
  <si>
    <t>SERVICIO DE VIGILANCIA DE LAS INSTALACIONES DE MODULOS DE ATENCION CIUDADANA.</t>
  </si>
  <si>
    <t>SERVICIO DE LIMPIEZA DE LAS INSTALACIONES DE LOS MODULOS DE ATENCION CIUDADANA.</t>
  </si>
  <si>
    <t>DELEGACIONALES</t>
  </si>
  <si>
    <t>MS05</t>
  </si>
  <si>
    <t>21101.</t>
  </si>
  <si>
    <t xml:space="preserve">Materiales y útiles de oficina </t>
  </si>
  <si>
    <t>21101001-0256</t>
  </si>
  <si>
    <t>COMPRA MENOR</t>
  </si>
  <si>
    <t>21100023-0003</t>
  </si>
  <si>
    <t>REGISTRADOR  LEFORT T/OFICIO</t>
  </si>
  <si>
    <t>21100033-0007</t>
  </si>
  <si>
    <t>CINTA CANELA TRANSPARENTE</t>
  </si>
  <si>
    <t>21100033-0013</t>
  </si>
  <si>
    <t>CINTA DIUREX 18 X 33</t>
  </si>
  <si>
    <t>21100033-0031</t>
  </si>
  <si>
    <t>CINTA MASKING TAPE  12 X 50</t>
  </si>
  <si>
    <t>21100036-0003</t>
  </si>
  <si>
    <t>CLIP MARIPOSA  # 1</t>
  </si>
  <si>
    <t>21100036-0004</t>
  </si>
  <si>
    <t>CLIPS JUMBO</t>
  </si>
  <si>
    <t>LIGAS NUMERO  10</t>
  </si>
  <si>
    <t>21100074-0001</t>
  </si>
  <si>
    <t>BICOLOR</t>
  </si>
  <si>
    <t>21100081-0009</t>
  </si>
  <si>
    <t>BLOCK DE NOTAS POST-IT COLOR</t>
  </si>
  <si>
    <t>21400004-0015</t>
  </si>
  <si>
    <t>DISCO COMPACTO GRABABLE 80 MIN 700 MB</t>
  </si>
  <si>
    <t>21401001-0338</t>
  </si>
  <si>
    <t>UNIDAD DE IMAGEN LEXMARK</t>
  </si>
  <si>
    <t>21600006-0022</t>
  </si>
  <si>
    <t>BOLSA DE PLASTICO P/BASURA 90X1.20</t>
  </si>
  <si>
    <t>21600007-0002</t>
  </si>
  <si>
    <t>CLORO 1  LITRO</t>
  </si>
  <si>
    <t>21600007-0006</t>
  </si>
  <si>
    <t>PINOL</t>
  </si>
  <si>
    <t>21601001-0018</t>
  </si>
  <si>
    <t>PAPEL TOALLA  EN ROLLO</t>
  </si>
  <si>
    <t>Productos alimenticios para el personal en las 
instalaciones de las Unidades Responsables</t>
  </si>
  <si>
    <t>Productos alimenticios para el personal derivado de actividades extraordinarias</t>
  </si>
  <si>
    <t>ALIMENTOS</t>
  </si>
  <si>
    <t>24600025-0021</t>
  </si>
  <si>
    <t>FOCO AHORRADOR</t>
  </si>
  <si>
    <t>AGUA POTABLE</t>
  </si>
  <si>
    <t>ANUAL</t>
  </si>
  <si>
    <t>ARRENDAMIENTO DE INMUEBLES</t>
  </si>
  <si>
    <t>ARRENDAM. MAQ. Y EQ. (FOTOCOPIADO)</t>
  </si>
  <si>
    <t>VIGILANCIA</t>
  </si>
  <si>
    <t>Fletes y maniobras</t>
  </si>
  <si>
    <t>Mantenimiento y conservación de inmuebles</t>
  </si>
  <si>
    <t>MANTENIMIENTO DE INMUEBLES</t>
  </si>
  <si>
    <t>Mantenimiento y conservación de vehículos terrestres, 
aéreos, marítimos, lacustres y fluviales</t>
  </si>
  <si>
    <t>MANTENIMIENTO A VEHICULOS</t>
  </si>
  <si>
    <t>Viáticos nacionales para labores en campo y de 
supervisión</t>
  </si>
  <si>
    <t>MANTENIMIENTO Y RECARGA A EXTINTORES</t>
  </si>
  <si>
    <t>Viáticos nacionales para servidores públicos en el 
desempeño de funciones oficiales</t>
  </si>
  <si>
    <t>VIÁTICOS NACIONALES  PARA SERVIDORES PÚBLICOS</t>
  </si>
  <si>
    <t>OTROS IMPTOS. DER. (REFRENDO) y  (VERIF. VEH.)</t>
  </si>
  <si>
    <t>21600010-0008</t>
  </si>
  <si>
    <t>TOALLAS DESINFECTANTES CON CLORO</t>
  </si>
  <si>
    <t>BOTE</t>
  </si>
  <si>
    <t>29901001-0176</t>
  </si>
  <si>
    <t>21100078-0001</t>
  </si>
  <si>
    <t>PAPEL BOND T/CARTA</t>
  </si>
  <si>
    <t>21100078-0003</t>
  </si>
  <si>
    <t>PAPEL BOND T/OFICIO</t>
  </si>
  <si>
    <t>SPG045</t>
  </si>
  <si>
    <t>LAPIZ No. 2</t>
  </si>
  <si>
    <t>21101</t>
  </si>
  <si>
    <t>21100036-0006</t>
  </si>
  <si>
    <t>21400001-0001</t>
  </si>
  <si>
    <t>TOALLA ANTIESTATICA</t>
  </si>
  <si>
    <t>6</t>
  </si>
  <si>
    <t>SPRAY ESPUMA P/COMPUTADORA</t>
  </si>
  <si>
    <t>5</t>
  </si>
  <si>
    <t>4</t>
  </si>
  <si>
    <t>21400013-0206</t>
  </si>
  <si>
    <t>TONER PARA IMPRESORA KYOCERA ECOSYS FS-C5030N N° PARTE TK512 K (NEGRO)</t>
  </si>
  <si>
    <t>2</t>
  </si>
  <si>
    <t>21401001-0310</t>
  </si>
  <si>
    <t>1</t>
  </si>
  <si>
    <t>FOCO AHORRADOR DE ENERGIA EN ESPIRAL</t>
  </si>
  <si>
    <t>Herramientas menores</t>
  </si>
  <si>
    <t>29101001-0132</t>
  </si>
  <si>
    <t>PINZA PONCHADORA</t>
  </si>
  <si>
    <t>Herramientas Menores</t>
  </si>
  <si>
    <t>24601001-0073</t>
  </si>
  <si>
    <t>CONECTOR RJ45</t>
  </si>
  <si>
    <t>Otros materiales y artículos de construcción y reparación</t>
  </si>
  <si>
    <t>CINTA METÁLICA PARA DUCTO</t>
  </si>
  <si>
    <t>7</t>
  </si>
  <si>
    <t>05 Junta Distrital Ejecutiva</t>
  </si>
  <si>
    <t>TOALLA DE MICROFIBRA</t>
  </si>
  <si>
    <t>ESCOBA DE PLASTICO TIPO  CEPILLO</t>
  </si>
  <si>
    <t>CLORO</t>
  </si>
  <si>
    <t>29401001-0045</t>
  </si>
  <si>
    <t>DISCO DURO EXTERNO - GASTO</t>
  </si>
  <si>
    <t>29401001-0080</t>
  </si>
  <si>
    <t>SWITCH 8 PUERTOS - GASTO</t>
  </si>
  <si>
    <t>Combustibles, lubricantes y aditivos para vehículos
terrestres, aéreos, marítimos, lacustres y fluviales destinados a
servicios administrativos</t>
  </si>
  <si>
    <t>VIÁTICOS NACIONALES PARA LABORES EN CAMPO Y DE SUPERVISIÓN</t>
  </si>
  <si>
    <t xml:space="preserve">Impresión y elaboración de material informativo derivado
de la operación y administración de las Unidades
Responsables </t>
  </si>
  <si>
    <t>IMPRESIÓN Y ELABORACION DE MAT. INFORMATICO</t>
  </si>
  <si>
    <t>SUBDELEGACIONALES</t>
  </si>
  <si>
    <t>MS02</t>
  </si>
  <si>
    <t>M01</t>
  </si>
  <si>
    <t>ARRENDAMIENTO DE VEHICULOS Y LOCALES</t>
  </si>
  <si>
    <t>SERVICIO DE RENTA DE INMUEBLEDE LA J.D.E.</t>
  </si>
  <si>
    <t>01/2023, 02/2023, 03/2023</t>
  </si>
  <si>
    <t>SERVICIO DE VIGILANCIA DE INMUEBLE</t>
  </si>
  <si>
    <t xml:space="preserve"> INE/SERVS/JLEMOR/13/2022</t>
  </si>
  <si>
    <t>SERVICIO DE LAVANDERIA, LIMPIEZA E HIGIENE</t>
  </si>
  <si>
    <t>SERVICIO DE LIMPIEZA DE INMUEBLE</t>
  </si>
  <si>
    <t xml:space="preserve"> INE/SERV/JLE-MOR/11/2022</t>
  </si>
  <si>
    <t>MANTENIMIENTO Y CONSERVACION DE INMUEBLE</t>
  </si>
  <si>
    <t>NO APLICA</t>
  </si>
  <si>
    <t>SERVICIO DE JARDINERIA Y FUMIGACION</t>
  </si>
  <si>
    <t>SERVICIO DE FUMIGACION Y SANITIZACION</t>
  </si>
  <si>
    <t>MANTENIMIENTO Y CONSERVACION DE MOBILIARIO Y EQUIPO DE ADMINISTRACION</t>
  </si>
  <si>
    <t>PEAJES</t>
  </si>
  <si>
    <t>21100003-0001</t>
  </si>
  <si>
    <t>SACAPUNTAS DE METAL ESCOLAR</t>
  </si>
  <si>
    <t>21100003-0004</t>
  </si>
  <si>
    <t>SACAPUNTAS ELECTRICO</t>
  </si>
  <si>
    <t>21100013-0010</t>
  </si>
  <si>
    <t>MARCADOR AQUACOLOR C/ 8  pzs.</t>
  </si>
  <si>
    <t>21100013-0028</t>
  </si>
  <si>
    <t>MARCATEXTO NEGRO</t>
  </si>
  <si>
    <t>CLIP ESTANDAR # 3</t>
  </si>
  <si>
    <t>21100013-0020</t>
  </si>
  <si>
    <t>MARCADOR TINTA PERMANENTE CAFE</t>
  </si>
  <si>
    <t>BLOCK</t>
  </si>
  <si>
    <t>21400011-0118</t>
  </si>
  <si>
    <t>CARTUCHO DE TINTA P/IMP. H.P. C8727A NEGRO</t>
  </si>
  <si>
    <t xml:space="preserve">PRODUCTOS ALIMENTICIOS PARA EL PERSONAL EN LAS INSTALACIONES DE LAS UNIDADES RESPONSABLES </t>
  </si>
  <si>
    <t>22104001-0161</t>
  </si>
  <si>
    <t>MATERIAL ELÉCTRICO</t>
  </si>
  <si>
    <t>24600018-0018</t>
  </si>
  <si>
    <t xml:space="preserve">PLAGUICIDAS, ABONOS Y FERTILIZANTES </t>
  </si>
  <si>
    <t>25200001-0001</t>
  </si>
  <si>
    <t>INSECTICIDA</t>
  </si>
  <si>
    <t>MEDICINAS Y PRODUCTOS FARMACÉUTICOS</t>
  </si>
  <si>
    <t>25300002-0002</t>
  </si>
  <si>
    <t>MEDICAMENTO</t>
  </si>
  <si>
    <t xml:space="preserve">COMBUSTIBLES, LUBRICANTES Y ADITIVOS PARA VEHÍCULOS TERRESTRES, AÉREOS, MARÍTIMOS, LACUSTRES Y FLUVIALES DESTINADOS A SERVICIOS ADMINISTRATIVOS </t>
  </si>
  <si>
    <t>27100013-0003</t>
  </si>
  <si>
    <t>PLAYERA IMPRESA IFE</t>
  </si>
  <si>
    <t>29100068-0001</t>
  </si>
  <si>
    <t>MATERIAL DE FERRETERIA (DIVERSO)</t>
  </si>
  <si>
    <t>29400001-0001</t>
  </si>
  <si>
    <t>AUDÍFONOS P/COMPUTADORA T/DIADEMA</t>
  </si>
  <si>
    <t>SERVICIO DE RENTA DE FOTOCOPIADORA</t>
  </si>
  <si>
    <t>PAGO DE SERVICIO DE COMISIÓN POR COMBUSTIBLE</t>
  </si>
  <si>
    <t>MANTENIMIENTO A LOS VEHICULOS QUE CONFORMAN EL PARQUE VEHICULAR DE LA 02 JDE</t>
  </si>
  <si>
    <t>21601001-0083</t>
  </si>
  <si>
    <t>DISPENSADOR DE GEL C/PEDAL</t>
  </si>
  <si>
    <t>21601001-0071</t>
  </si>
  <si>
    <t>TAPETE SANITIZANTE</t>
  </si>
  <si>
    <t>25301001-0199</t>
  </si>
  <si>
    <t>ALCOHOL LIQUIDO ( 1 LT )</t>
  </si>
  <si>
    <t>25301001-0285</t>
  </si>
  <si>
    <t>ALCOHOL EN SPRAY</t>
  </si>
  <si>
    <t xml:space="preserve">MATERIALES, ACCESORIOS Y SUMINISTROS MÉDICOS </t>
  </si>
  <si>
    <t>GASTOS PARA OPERATIVOS Y TRABAJOS DE CAMPO EN AREAS RURALES</t>
  </si>
  <si>
    <t>OTROS MATERIALES Y ARTICULOS DE CONSTRUCCION Y REPARACION</t>
  </si>
  <si>
    <t>24900003-0003</t>
  </si>
  <si>
    <t>ACRILICO P/GABINETE 122 X 61 cm.</t>
  </si>
  <si>
    <t xml:space="preserve">REFACCIONES Y ACCESORIOS MENORES DE MOBILIARIO Y EQUIPO DE ADMINISTRACIÓN, EDUCACIONAL Y RECREATIVO </t>
  </si>
  <si>
    <t>29301001-0029</t>
  </si>
  <si>
    <t>VENTILADOR DE PEDESTAL - GASTO</t>
  </si>
  <si>
    <t>29400009-0045</t>
  </si>
  <si>
    <t>CABLE USB A/B 1.8 MTS.</t>
  </si>
  <si>
    <t>29400014-0019</t>
  </si>
  <si>
    <t>BASE PARA LAPTOP</t>
  </si>
  <si>
    <t>24601001-0075</t>
  </si>
  <si>
    <t>PILAS RECARGABLES AA</t>
  </si>
  <si>
    <t xml:space="preserve"> SERVICIOS DE LAVANDERÍA, LIMPIEZA E HIGIENE</t>
  </si>
  <si>
    <t>SERVICIO DE LIMPIEZA EN LOS MÓDULOS DE ATENCIÓN CIUDADANA 17051 Y 17025</t>
  </si>
  <si>
    <t>SERVICIOS DE JARDINERIA Y FUMIGACION</t>
  </si>
  <si>
    <t>FUMIGACION EN LAS INTALACIONES DE LA 02 JUNTA DISTRITAL EJECUTIVA</t>
  </si>
  <si>
    <t>GASTOS DE CAMPO PERSONAL DE LA VRFE</t>
  </si>
  <si>
    <t>DISPERSIÓN ELECTRÓNICA DE COMBUSTIBLE PARA SERVICIOS ADMINISTRATIVOS</t>
  </si>
  <si>
    <t>29901001-0050</t>
  </si>
  <si>
    <t>TELEFONO SECRETARIAL - GASTO</t>
  </si>
  <si>
    <t xml:space="preserve">MATERIALES Y UTILES PARA EL PROCESAMIENTO EN EQUIPOS Y BIENES INFORMATICOS </t>
  </si>
  <si>
    <t>21400012-0034</t>
  </si>
  <si>
    <t>TONER P/IMPRESORA OKIDATA B6100 N° P. 52113701</t>
  </si>
  <si>
    <t>SILICON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</si>
</sst>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&quot;$&quot;#,##0.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b/>
      <sz val="9"/>
      <color indexed="81"/>
      <name val="Tahoma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Arial"/>
      <family val="2"/>
    </font>
    <font>
      <sz val="9"/>
      <color indexed="81"/>
      <name val="Tahoma"/>
      <family val="2"/>
    </font>
    <font>
      <sz val="9"/>
      <color theme="1"/>
      <name val="Calibri"/>
      <family val="2"/>
      <scheme val="minor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0" fillId="0" borderId="0"/>
    <xf numFmtId="0" fontId="6" fillId="0" borderId="0"/>
    <xf numFmtId="0" fontId="13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</cellStyleXfs>
  <cellXfs count="170">
    <xf numFmtId="0" fontId="0" fillId="0" borderId="0" xfId="0"/>
    <xf numFmtId="0" fontId="1" fillId="0" borderId="0" xfId="1"/>
    <xf numFmtId="0" fontId="4" fillId="0" borderId="0" xfId="2" applyFont="1" applyAlignment="1">
      <alignment horizontal="center"/>
    </xf>
    <xf numFmtId="0" fontId="1" fillId="0" borderId="0" xfId="2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1" fillId="0" borderId="0" xfId="1" applyAlignment="1">
      <alignment horizontal="center"/>
    </xf>
    <xf numFmtId="1" fontId="2" fillId="2" borderId="1" xfId="3" applyNumberFormat="1" applyFont="1" applyFill="1" applyBorder="1" applyAlignment="1">
      <alignment horizontal="center" wrapText="1"/>
    </xf>
    <xf numFmtId="0" fontId="9" fillId="0" borderId="1" xfId="2" applyFont="1" applyBorder="1" applyAlignment="1">
      <alignment horizontal="center" vertical="center" wrapText="1"/>
    </xf>
    <xf numFmtId="0" fontId="1" fillId="0" borderId="0" xfId="1" applyAlignment="1">
      <alignment vertical="center"/>
    </xf>
    <xf numFmtId="0" fontId="1" fillId="0" borderId="0" xfId="1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3" fontId="3" fillId="0" borderId="0" xfId="2" applyNumberFormat="1" applyFont="1" applyAlignment="1">
      <alignment vertical="center"/>
    </xf>
    <xf numFmtId="0" fontId="4" fillId="0" borderId="0" xfId="2" applyFont="1" applyAlignment="1">
      <alignment vertical="center"/>
    </xf>
    <xf numFmtId="3" fontId="2" fillId="2" borderId="1" xfId="4" applyNumberFormat="1" applyFont="1" applyFill="1" applyBorder="1" applyAlignment="1">
      <alignment horizontal="center" vertical="center" wrapText="1"/>
    </xf>
    <xf numFmtId="165" fontId="8" fillId="0" borderId="1" xfId="2" applyNumberFormat="1" applyFont="1" applyBorder="1" applyAlignment="1">
      <alignment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0" fontId="13" fillId="0" borderId="1" xfId="7" quotePrefix="1" applyBorder="1" applyAlignment="1">
      <alignment horizontal="center" vertical="center" wrapText="1"/>
    </xf>
    <xf numFmtId="0" fontId="13" fillId="0" borderId="1" xfId="7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165" fontId="13" fillId="0" borderId="1" xfId="8" quotePrefix="1" applyNumberFormat="1" applyFont="1" applyFill="1" applyBorder="1" applyAlignment="1">
      <alignment horizontal="right" vertical="center"/>
    </xf>
    <xf numFmtId="3" fontId="9" fillId="0" borderId="1" xfId="3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165" fontId="13" fillId="0" borderId="1" xfId="8" applyNumberFormat="1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3" fillId="0" borderId="0" xfId="7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3" fontId="8" fillId="0" borderId="0" xfId="2" applyNumberFormat="1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 shrinkToFit="1"/>
    </xf>
    <xf numFmtId="164" fontId="9" fillId="0" borderId="1" xfId="0" applyNumberFormat="1" applyFont="1" applyBorder="1" applyAlignment="1">
      <alignment horizontal="center" vertical="center" wrapText="1"/>
    </xf>
    <xf numFmtId="165" fontId="13" fillId="0" borderId="1" xfId="8" applyNumberFormat="1" applyFont="1" applyFill="1" applyBorder="1" applyAlignment="1">
      <alignment vertical="center"/>
    </xf>
    <xf numFmtId="0" fontId="15" fillId="3" borderId="4" xfId="0" applyFont="1" applyFill="1" applyBorder="1" applyAlignment="1">
      <alignment vertical="top" wrapText="1"/>
    </xf>
    <xf numFmtId="0" fontId="4" fillId="0" borderId="0" xfId="2" applyFont="1" applyAlignment="1">
      <alignment horizontal="center" vertical="center"/>
    </xf>
    <xf numFmtId="0" fontId="0" fillId="0" borderId="1" xfId="0" applyBorder="1" applyAlignment="1">
      <alignment vertical="center"/>
    </xf>
    <xf numFmtId="0" fontId="7" fillId="0" borderId="2" xfId="2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0" fontId="13" fillId="0" borderId="1" xfId="7" applyBorder="1" applyAlignment="1">
      <alignment horizontal="justify" vertical="top"/>
    </xf>
    <xf numFmtId="1" fontId="9" fillId="0" borderId="2" xfId="3" applyNumberFormat="1" applyFont="1" applyBorder="1" applyAlignment="1">
      <alignment horizontal="left" vertical="center" wrapText="1"/>
    </xf>
    <xf numFmtId="0" fontId="10" fillId="0" borderId="1" xfId="5" applyBorder="1"/>
    <xf numFmtId="3" fontId="8" fillId="0" borderId="5" xfId="2" applyNumberFormat="1" applyFont="1" applyBorder="1" applyAlignment="1">
      <alignment vertical="center" wrapText="1"/>
    </xf>
    <xf numFmtId="3" fontId="8" fillId="0" borderId="2" xfId="2" applyNumberFormat="1" applyFont="1" applyBorder="1" applyAlignment="1">
      <alignment vertical="center" wrapText="1"/>
    </xf>
    <xf numFmtId="0" fontId="7" fillId="0" borderId="1" xfId="0" applyFont="1" applyBorder="1" applyAlignment="1">
      <alignment horizontal="right" vertical="center" wrapText="1"/>
    </xf>
    <xf numFmtId="3" fontId="8" fillId="0" borderId="1" xfId="2" applyNumberFormat="1" applyFont="1" applyBorder="1" applyAlignment="1">
      <alignment vertical="center" wrapText="1"/>
    </xf>
    <xf numFmtId="4" fontId="8" fillId="0" borderId="1" xfId="2" applyNumberFormat="1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4" fontId="8" fillId="0" borderId="1" xfId="2" applyNumberFormat="1" applyFont="1" applyBorder="1" applyAlignment="1">
      <alignment horizontal="right" vertical="center"/>
    </xf>
    <xf numFmtId="4" fontId="9" fillId="0" borderId="0" xfId="2" applyNumberFormat="1" applyFont="1" applyAlignment="1">
      <alignment horizontal="center" vertical="center" wrapText="1"/>
    </xf>
    <xf numFmtId="4" fontId="8" fillId="0" borderId="5" xfId="2" applyNumberFormat="1" applyFont="1" applyBorder="1" applyAlignment="1">
      <alignment vertical="center" wrapText="1"/>
    </xf>
    <xf numFmtId="16" fontId="7" fillId="0" borderId="1" xfId="0" applyNumberFormat="1" applyFont="1" applyBorder="1" applyAlignment="1">
      <alignment horizontal="right" vertical="center" wrapText="1"/>
    </xf>
    <xf numFmtId="49" fontId="8" fillId="0" borderId="5" xfId="2" applyNumberFormat="1" applyFont="1" applyBorder="1" applyAlignment="1">
      <alignment vertical="center" wrapText="1"/>
    </xf>
    <xf numFmtId="3" fontId="8" fillId="0" borderId="5" xfId="2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1" xfId="0" applyFont="1" applyBorder="1" applyAlignment="1">
      <alignment wrapText="1"/>
    </xf>
    <xf numFmtId="0" fontId="7" fillId="0" borderId="1" xfId="0" applyFont="1" applyBorder="1"/>
    <xf numFmtId="1" fontId="9" fillId="0" borderId="1" xfId="3" applyNumberFormat="1" applyFont="1" applyBorder="1" applyAlignment="1">
      <alignment horizontal="center" wrapText="1"/>
    </xf>
    <xf numFmtId="0" fontId="9" fillId="0" borderId="1" xfId="2" applyFont="1" applyBorder="1" applyAlignment="1">
      <alignment horizontal="center" wrapText="1"/>
    </xf>
    <xf numFmtId="43" fontId="9" fillId="0" borderId="1" xfId="3" applyNumberFormat="1" applyFont="1" applyBorder="1" applyAlignment="1">
      <alignment horizontal="left" wrapText="1"/>
    </xf>
    <xf numFmtId="3" fontId="9" fillId="0" borderId="1" xfId="2" applyNumberFormat="1" applyFont="1" applyBorder="1" applyAlignment="1">
      <alignment horizontal="center" wrapText="1"/>
    </xf>
    <xf numFmtId="43" fontId="9" fillId="0" borderId="1" xfId="4" applyNumberFormat="1" applyFont="1" applyFill="1" applyBorder="1" applyAlignment="1">
      <alignment horizontal="center" wrapText="1"/>
    </xf>
    <xf numFmtId="0" fontId="9" fillId="0" borderId="0" xfId="2" applyFont="1" applyAlignment="1">
      <alignment horizontal="center" wrapText="1"/>
    </xf>
    <xf numFmtId="49" fontId="9" fillId="0" borderId="1" xfId="0" applyNumberFormat="1" applyFont="1" applyBorder="1" applyAlignment="1">
      <alignment horizontal="center" wrapText="1"/>
    </xf>
    <xf numFmtId="49" fontId="9" fillId="0" borderId="1" xfId="0" quotePrefix="1" applyNumberFormat="1" applyFont="1" applyBorder="1" applyAlignment="1">
      <alignment horizontal="center" wrapText="1"/>
    </xf>
    <xf numFmtId="0" fontId="9" fillId="0" borderId="1" xfId="0" applyFont="1" applyBorder="1" applyAlignment="1">
      <alignment wrapText="1"/>
    </xf>
    <xf numFmtId="0" fontId="9" fillId="0" borderId="1" xfId="0" applyFont="1" applyBorder="1"/>
    <xf numFmtId="49" fontId="9" fillId="0" borderId="1" xfId="0" applyNumberFormat="1" applyFont="1" applyBorder="1" applyAlignment="1">
      <alignment horizontal="center"/>
    </xf>
    <xf numFmtId="0" fontId="9" fillId="0" borderId="1" xfId="3" applyFont="1" applyBorder="1" applyAlignment="1">
      <alignment horizontal="center" wrapText="1"/>
    </xf>
    <xf numFmtId="0" fontId="9" fillId="0" borderId="1" xfId="3" quotePrefix="1" applyFont="1" applyBorder="1" applyAlignment="1">
      <alignment horizontal="center" wrapText="1"/>
    </xf>
    <xf numFmtId="0" fontId="9" fillId="0" borderId="1" xfId="7" applyFont="1" applyBorder="1" applyAlignment="1" applyProtection="1">
      <alignment horizontal="center"/>
      <protection locked="0"/>
    </xf>
    <xf numFmtId="43" fontId="9" fillId="0" borderId="1" xfId="4" applyNumberFormat="1" applyFont="1" applyFill="1" applyBorder="1" applyAlignment="1">
      <alignment horizontal="left" wrapText="1"/>
    </xf>
    <xf numFmtId="0" fontId="9" fillId="0" borderId="0" xfId="2" applyFont="1" applyAlignment="1">
      <alignment horizontal="left" wrapText="1"/>
    </xf>
    <xf numFmtId="0" fontId="7" fillId="0" borderId="1" xfId="0" applyFont="1" applyBorder="1" applyAlignment="1">
      <alignment horizontal="center" wrapText="1"/>
    </xf>
    <xf numFmtId="0" fontId="9" fillId="0" borderId="1" xfId="7" applyFont="1" applyBorder="1" applyAlignment="1">
      <alignment horizontal="center"/>
    </xf>
    <xf numFmtId="0" fontId="9" fillId="0" borderId="1" xfId="7" applyFont="1" applyBorder="1" applyAlignment="1">
      <alignment wrapText="1"/>
    </xf>
    <xf numFmtId="3" fontId="8" fillId="0" borderId="1" xfId="2" applyNumberFormat="1" applyFont="1" applyBorder="1" applyAlignment="1">
      <alignment horizontal="center" wrapText="1"/>
    </xf>
    <xf numFmtId="0" fontId="9" fillId="0" borderId="1" xfId="2" applyFont="1" applyBorder="1" applyAlignment="1">
      <alignment wrapText="1"/>
    </xf>
    <xf numFmtId="1" fontId="9" fillId="0" borderId="1" xfId="2" applyNumberFormat="1" applyFont="1" applyBorder="1" applyAlignment="1">
      <alignment wrapText="1"/>
    </xf>
    <xf numFmtId="3" fontId="9" fillId="0" borderId="1" xfId="4" applyNumberFormat="1" applyFont="1" applyFill="1" applyBorder="1" applyAlignment="1">
      <alignment horizontal="center" wrapText="1"/>
    </xf>
    <xf numFmtId="43" fontId="9" fillId="0" borderId="1" xfId="6" applyNumberFormat="1" applyFont="1" applyBorder="1"/>
    <xf numFmtId="43" fontId="17" fillId="0" borderId="1" xfId="9" applyNumberFormat="1" applyFont="1" applyFill="1" applyBorder="1" applyAlignment="1"/>
    <xf numFmtId="0" fontId="9" fillId="0" borderId="0" xfId="6" applyFont="1"/>
    <xf numFmtId="43" fontId="9" fillId="0" borderId="1" xfId="6" applyNumberFormat="1" applyFont="1" applyBorder="1" applyAlignment="1">
      <alignment horizontal="left"/>
    </xf>
    <xf numFmtId="0" fontId="9" fillId="0" borderId="0" xfId="6" applyFont="1" applyAlignment="1">
      <alignment horizontal="left"/>
    </xf>
    <xf numFmtId="0" fontId="7" fillId="0" borderId="1" xfId="0" applyFont="1" applyBorder="1" applyAlignment="1">
      <alignment horizontal="left"/>
    </xf>
    <xf numFmtId="0" fontId="9" fillId="0" borderId="1" xfId="6" applyFont="1" applyBorder="1" applyAlignment="1">
      <alignment horizontal="center"/>
    </xf>
    <xf numFmtId="0" fontId="7" fillId="0" borderId="1" xfId="2" applyFont="1" applyBorder="1" applyAlignment="1">
      <alignment horizontal="center"/>
    </xf>
    <xf numFmtId="1" fontId="7" fillId="0" borderId="1" xfId="2" applyNumberFormat="1" applyFont="1" applyBorder="1" applyAlignment="1">
      <alignment horizontal="center"/>
    </xf>
    <xf numFmtId="43" fontId="7" fillId="0" borderId="1" xfId="0" applyNumberFormat="1" applyFont="1" applyBorder="1" applyAlignment="1">
      <alignment horizontal="left"/>
    </xf>
    <xf numFmtId="43" fontId="7" fillId="0" borderId="1" xfId="2" applyNumberFormat="1" applyFont="1" applyBorder="1" applyAlignment="1">
      <alignment horizontal="left"/>
    </xf>
    <xf numFmtId="0" fontId="7" fillId="0" borderId="0" xfId="2" applyFont="1" applyAlignment="1">
      <alignment horizontal="left"/>
    </xf>
    <xf numFmtId="43" fontId="7" fillId="0" borderId="1" xfId="0" applyNumberFormat="1" applyFont="1" applyBorder="1"/>
    <xf numFmtId="43" fontId="7" fillId="0" borderId="1" xfId="2" applyNumberFormat="1" applyFont="1" applyBorder="1"/>
    <xf numFmtId="0" fontId="7" fillId="0" borderId="0" xfId="2" applyFont="1"/>
    <xf numFmtId="0" fontId="7" fillId="0" borderId="1" xfId="2" applyFont="1" applyBorder="1" applyAlignment="1">
      <alignment wrapText="1"/>
    </xf>
    <xf numFmtId="0" fontId="7" fillId="4" borderId="1" xfId="2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 wrapText="1"/>
    </xf>
    <xf numFmtId="0" fontId="7" fillId="0" borderId="1" xfId="0" quotePrefix="1" applyFont="1" applyBorder="1" applyAlignment="1">
      <alignment horizontal="center"/>
    </xf>
    <xf numFmtId="0" fontId="7" fillId="4" borderId="1" xfId="0" applyFont="1" applyFill="1" applyBorder="1" applyAlignment="1">
      <alignment horizontal="left" wrapText="1"/>
    </xf>
    <xf numFmtId="0" fontId="7" fillId="4" borderId="1" xfId="0" applyFont="1" applyFill="1" applyBorder="1" applyAlignment="1">
      <alignment horizontal="left"/>
    </xf>
    <xf numFmtId="0" fontId="7" fillId="4" borderId="1" xfId="0" applyFont="1" applyFill="1" applyBorder="1" applyAlignment="1">
      <alignment horizontal="center"/>
    </xf>
    <xf numFmtId="3" fontId="8" fillId="0" borderId="1" xfId="2" applyNumberFormat="1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1" fontId="8" fillId="4" borderId="1" xfId="2" applyNumberFormat="1" applyFont="1" applyFill="1" applyBorder="1" applyAlignment="1">
      <alignment horizontal="left" wrapText="1"/>
    </xf>
    <xf numFmtId="3" fontId="9" fillId="4" borderId="1" xfId="3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left"/>
    </xf>
    <xf numFmtId="4" fontId="8" fillId="0" borderId="1" xfId="2" applyNumberFormat="1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3" fontId="9" fillId="0" borderId="1" xfId="3" applyNumberFormat="1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8" fillId="0" borderId="0" xfId="0" applyFont="1" applyAlignment="1">
      <alignment horizontal="left" wrapText="1"/>
    </xf>
    <xf numFmtId="0" fontId="0" fillId="0" borderId="1" xfId="0" applyBorder="1" applyAlignment="1">
      <alignment horizontal="left" wrapText="1"/>
    </xf>
    <xf numFmtId="1" fontId="9" fillId="0" borderId="1" xfId="3" applyNumberFormat="1" applyFont="1" applyBorder="1" applyAlignment="1">
      <alignment horizontal="left" wrapText="1"/>
    </xf>
    <xf numFmtId="1" fontId="8" fillId="0" borderId="1" xfId="2" applyNumberFormat="1" applyFont="1" applyBorder="1" applyAlignment="1">
      <alignment horizontal="left" wrapText="1"/>
    </xf>
    <xf numFmtId="0" fontId="7" fillId="0" borderId="3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7" fillId="0" borderId="2" xfId="2" applyFont="1" applyBorder="1" applyAlignment="1">
      <alignment horizontal="center" wrapText="1"/>
    </xf>
    <xf numFmtId="0" fontId="8" fillId="0" borderId="1" xfId="2" applyFont="1" applyBorder="1" applyAlignment="1">
      <alignment horizontal="center" wrapText="1"/>
    </xf>
    <xf numFmtId="0" fontId="16" fillId="0" borderId="1" xfId="0" applyFont="1" applyBorder="1" applyAlignment="1">
      <alignment horizontal="left" wrapText="1"/>
    </xf>
    <xf numFmtId="49" fontId="8" fillId="0" borderId="1" xfId="2" applyNumberFormat="1" applyFont="1" applyBorder="1" applyAlignment="1">
      <alignment horizontal="center" wrapText="1"/>
    </xf>
    <xf numFmtId="0" fontId="16" fillId="3" borderId="1" xfId="0" applyFont="1" applyFill="1" applyBorder="1" applyAlignment="1">
      <alignment horizontal="left" wrapText="1"/>
    </xf>
    <xf numFmtId="3" fontId="8" fillId="0" borderId="1" xfId="2" applyNumberFormat="1" applyFont="1" applyBorder="1" applyAlignment="1">
      <alignment horizontal="right" wrapText="1"/>
    </xf>
    <xf numFmtId="0" fontId="7" fillId="4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3" fontId="8" fillId="4" borderId="1" xfId="2" applyNumberFormat="1" applyFont="1" applyFill="1" applyBorder="1" applyAlignment="1">
      <alignment horizontal="center" vertical="center" wrapText="1"/>
    </xf>
    <xf numFmtId="1" fontId="9" fillId="4" borderId="1" xfId="3" applyNumberFormat="1" applyFont="1" applyFill="1" applyBorder="1" applyAlignment="1">
      <alignment horizontal="center" vertical="center" wrapText="1"/>
    </xf>
    <xf numFmtId="0" fontId="9" fillId="0" borderId="1" xfId="2" applyFont="1" applyBorder="1" applyAlignment="1">
      <alignment horizontal="right" vertical="center" wrapText="1"/>
    </xf>
    <xf numFmtId="3" fontId="8" fillId="0" borderId="0" xfId="2" applyNumberFormat="1" applyFont="1" applyAlignment="1">
      <alignment horizontal="center" wrapText="1"/>
    </xf>
    <xf numFmtId="164" fontId="9" fillId="0" borderId="1" xfId="0" applyNumberFormat="1" applyFont="1" applyBorder="1" applyAlignment="1">
      <alignment horizontal="center" wrapText="1"/>
    </xf>
    <xf numFmtId="0" fontId="9" fillId="0" borderId="1" xfId="0" applyFont="1" applyBorder="1" applyAlignment="1">
      <alignment horizontal="center" shrinkToFit="1"/>
    </xf>
    <xf numFmtId="3" fontId="9" fillId="0" borderId="1" xfId="3" applyNumberFormat="1" applyFont="1" applyBorder="1" applyAlignment="1">
      <alignment horizontal="center" shrinkToFit="1"/>
    </xf>
    <xf numFmtId="43" fontId="9" fillId="0" borderId="1" xfId="4" applyFont="1" applyFill="1" applyBorder="1" applyAlignment="1">
      <alignment horizontal="center" shrinkToFit="1"/>
    </xf>
    <xf numFmtId="0" fontId="7" fillId="4" borderId="2" xfId="2" applyFont="1" applyFill="1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20" fillId="4" borderId="1" xfId="2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0" fontId="9" fillId="4" borderId="1" xfId="2" applyFont="1" applyFill="1" applyBorder="1" applyAlignment="1">
      <alignment horizontal="center" vertical="center" wrapText="1"/>
    </xf>
    <xf numFmtId="4" fontId="8" fillId="4" borderId="1" xfId="2" applyNumberFormat="1" applyFont="1" applyFill="1" applyBorder="1" applyAlignment="1">
      <alignment horizontal="left" vertical="center" wrapText="1"/>
    </xf>
    <xf numFmtId="0" fontId="10" fillId="4" borderId="1" xfId="5" applyFill="1" applyBorder="1" applyAlignment="1">
      <alignment wrapText="1"/>
    </xf>
    <xf numFmtId="3" fontId="8" fillId="4" borderId="1" xfId="2" applyNumberFormat="1" applyFont="1" applyFill="1" applyBorder="1" applyAlignment="1">
      <alignment vertical="center" wrapText="1"/>
    </xf>
    <xf numFmtId="0" fontId="0" fillId="4" borderId="1" xfId="0" applyFill="1" applyBorder="1" applyAlignment="1">
      <alignment wrapText="1"/>
    </xf>
    <xf numFmtId="4" fontId="8" fillId="4" borderId="1" xfId="2" applyNumberFormat="1" applyFont="1" applyFill="1" applyBorder="1" applyAlignment="1">
      <alignment vertical="center" wrapText="1"/>
    </xf>
    <xf numFmtId="2" fontId="9" fillId="4" borderId="1" xfId="2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3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/>
    <xf numFmtId="0" fontId="21" fillId="0" borderId="0" xfId="0" applyFont="1"/>
    <xf numFmtId="0" fontId="9" fillId="0" borderId="1" xfId="10" applyFont="1" applyBorder="1"/>
    <xf numFmtId="3" fontId="9" fillId="0" borderId="1" xfId="0" applyNumberFormat="1" applyFont="1" applyBorder="1"/>
    <xf numFmtId="0" fontId="9" fillId="0" borderId="1" xfId="7" quotePrefix="1" applyFont="1" applyBorder="1" applyAlignment="1">
      <alignment horizontal="left"/>
    </xf>
    <xf numFmtId="0" fontId="4" fillId="0" borderId="0" xfId="2" applyFont="1" applyAlignment="1">
      <alignment horizontal="center" vertical="center"/>
    </xf>
  </cellXfs>
  <cellStyles count="11">
    <cellStyle name="Millares" xfId="8" builtinId="3"/>
    <cellStyle name="Millares 2" xfId="4" xr:uid="{46686665-A21F-477B-A601-F512FF256C20}"/>
    <cellStyle name="Moneda" xfId="9" builtinId="4"/>
    <cellStyle name="Normal" xfId="0" builtinId="0"/>
    <cellStyle name="Normal 2" xfId="5" xr:uid="{2ED08F7B-9939-4420-9466-BDDE366482DD}"/>
    <cellStyle name="Normal 2 2" xfId="2" xr:uid="{E15CAAB5-6CD9-480D-98A8-205AB1EB42F9}"/>
    <cellStyle name="Normal 3 2" xfId="10" xr:uid="{2C6B1802-600F-4F02-AEFD-A0FB458B89BF}"/>
    <cellStyle name="Normal 4 2" xfId="6" xr:uid="{DA3C497A-CDF3-4C29-BAF5-551954104B78}"/>
    <cellStyle name="Normal 5" xfId="1" xr:uid="{3355237C-1F68-4192-864F-C9111EA4AB0F}"/>
    <cellStyle name="Normal 8" xfId="3" xr:uid="{26ADBEBF-CF2C-44F6-B111-DADB5179A2B5}"/>
    <cellStyle name="Normal_FORMATO_JUSTIFICACION DE AP 2004" xfId="7" xr:uid="{F5D56E18-052E-4285-913C-57ECD432A4D1}"/>
  </cellStyles>
  <dxfs count="0"/>
  <tableStyles count="0" defaultTableStyle="TableStyleMedium2" defaultPivotStyle="PivotStyleLight16"/>
  <colors>
    <mruColors>
      <color rgb="FF66FF66"/>
      <color rgb="FF66FFFF"/>
      <color rgb="FFCC00CC"/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6</xdr:col>
      <xdr:colOff>88992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9C1F6F8-A279-40EC-B11F-CF410D1E97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1540" y="0"/>
          <a:ext cx="2527392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E668C-2C82-4F90-B49A-1DDA188EDA7D}">
  <dimension ref="A1:XEY853"/>
  <sheetViews>
    <sheetView tabSelected="1" zoomScale="85" zoomScaleNormal="85" workbookViewId="0">
      <selection activeCell="J14" sqref="J14"/>
    </sheetView>
  </sheetViews>
  <sheetFormatPr baseColWidth="10" defaultColWidth="11.5546875" defaultRowHeight="14.4" x14ac:dyDescent="0.3"/>
  <cols>
    <col min="1" max="1" width="12" style="14" customWidth="1"/>
    <col min="2" max="2" width="9.44140625" style="14" bestFit="1" customWidth="1"/>
    <col min="3" max="3" width="5.77734375" style="14" customWidth="1"/>
    <col min="4" max="4" width="5.21875" style="14" bestFit="1" customWidth="1"/>
    <col min="5" max="5" width="7.21875" style="14" bestFit="1" customWidth="1"/>
    <col min="6" max="6" width="8.88671875" style="14" bestFit="1" customWidth="1"/>
    <col min="7" max="7" width="7.21875" style="14" bestFit="1" customWidth="1"/>
    <col min="8" max="8" width="19.109375" style="14" customWidth="1"/>
    <col min="9" max="9" width="14.77734375" style="14" customWidth="1"/>
    <col min="10" max="10" width="23.33203125" style="14" customWidth="1"/>
    <col min="11" max="11" width="14.33203125" style="14" customWidth="1"/>
    <col min="12" max="12" width="8.77734375" style="14" customWidth="1"/>
    <col min="13" max="13" width="8" style="14" bestFit="1" customWidth="1"/>
    <col min="14" max="14" width="8.77734375" style="14" bestFit="1" customWidth="1"/>
    <col min="15" max="15" width="11.6640625" style="5" customWidth="1"/>
    <col min="16" max="16" width="19.5546875" style="9" bestFit="1" customWidth="1"/>
    <col min="17" max="17" width="10" style="8" bestFit="1" customWidth="1"/>
    <col min="18" max="18" width="10.33203125" style="8" customWidth="1"/>
    <col min="19" max="19" width="10.5546875" style="8" customWidth="1"/>
    <col min="20" max="20" width="13.5546875" style="8" customWidth="1"/>
    <col min="21" max="21" width="9.77734375" style="8" customWidth="1"/>
    <col min="22" max="22" width="10.6640625" style="8" customWidth="1"/>
    <col min="23" max="23" width="10.77734375" style="8" customWidth="1"/>
    <col min="24" max="24" width="10.6640625" style="8" customWidth="1"/>
    <col min="25" max="25" width="10.109375" style="8" customWidth="1"/>
    <col min="26" max="26" width="11.33203125" style="8" bestFit="1" customWidth="1"/>
    <col min="27" max="27" width="11.44140625" style="8" customWidth="1"/>
    <col min="28" max="28" width="10.88671875" style="8" bestFit="1" customWidth="1"/>
    <col min="29" max="29" width="9.88671875" style="8" customWidth="1"/>
    <col min="30" max="30" width="11.6640625" style="1" bestFit="1" customWidth="1"/>
    <col min="31" max="16384" width="11.5546875" style="1"/>
  </cols>
  <sheetData>
    <row r="1" spans="1:29" ht="22.2" x14ac:dyDescent="0.3">
      <c r="R1" s="16" t="s">
        <v>0</v>
      </c>
      <c r="S1" s="1"/>
      <c r="T1" s="1"/>
      <c r="U1" s="1"/>
      <c r="V1" s="1"/>
      <c r="W1" s="1"/>
      <c r="AC1" s="16"/>
    </row>
    <row r="2" spans="1:29" ht="22.2" x14ac:dyDescent="0.3">
      <c r="R2" s="16" t="s">
        <v>1</v>
      </c>
      <c r="S2" s="1"/>
      <c r="T2" s="1"/>
      <c r="U2" s="1"/>
      <c r="V2" s="1"/>
      <c r="W2" s="1"/>
      <c r="AC2" s="16"/>
    </row>
    <row r="3" spans="1:29" ht="22.2" x14ac:dyDescent="0.3">
      <c r="R3" s="16" t="s">
        <v>2</v>
      </c>
      <c r="S3" s="1"/>
      <c r="T3" s="1"/>
      <c r="U3" s="1"/>
      <c r="V3" s="1"/>
      <c r="W3" s="1"/>
      <c r="AC3" s="16"/>
    </row>
    <row r="7" spans="1:29" ht="25.8" x14ac:dyDescent="0.3">
      <c r="A7" s="169" t="s">
        <v>248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</row>
    <row r="8" spans="1:29" ht="25.8" x14ac:dyDescent="0.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2"/>
      <c r="P8" s="45"/>
      <c r="Q8" s="17"/>
      <c r="R8" s="17"/>
      <c r="S8" s="17"/>
      <c r="T8" s="17"/>
      <c r="U8" s="17"/>
      <c r="V8" s="17"/>
      <c r="W8" s="17"/>
      <c r="X8" s="17"/>
      <c r="Y8" s="17"/>
      <c r="Z8" s="17"/>
    </row>
    <row r="10" spans="1:29" s="3" customFormat="1" ht="56.25" customHeight="1" x14ac:dyDescent="0.3">
      <c r="A10" s="10" t="s">
        <v>3</v>
      </c>
      <c r="B10" s="10" t="s">
        <v>4</v>
      </c>
      <c r="C10" s="10" t="s">
        <v>5</v>
      </c>
      <c r="D10" s="10" t="s">
        <v>6</v>
      </c>
      <c r="E10" s="10" t="s">
        <v>7</v>
      </c>
      <c r="F10" s="10" t="s">
        <v>8</v>
      </c>
      <c r="G10" s="11" t="s">
        <v>9</v>
      </c>
      <c r="H10" s="11" t="s">
        <v>10</v>
      </c>
      <c r="I10" s="11" t="s">
        <v>11</v>
      </c>
      <c r="J10" s="11" t="s">
        <v>12</v>
      </c>
      <c r="K10" s="11" t="s">
        <v>13</v>
      </c>
      <c r="L10" s="11" t="s">
        <v>14</v>
      </c>
      <c r="M10" s="11" t="s">
        <v>15</v>
      </c>
      <c r="N10" s="12" t="s">
        <v>16</v>
      </c>
      <c r="O10" s="6" t="s">
        <v>17</v>
      </c>
      <c r="P10" s="12" t="s">
        <v>18</v>
      </c>
      <c r="Q10" s="18" t="s">
        <v>19</v>
      </c>
      <c r="R10" s="18" t="s">
        <v>20</v>
      </c>
      <c r="S10" s="18" t="s">
        <v>21</v>
      </c>
      <c r="T10" s="18" t="s">
        <v>22</v>
      </c>
      <c r="U10" s="18" t="s">
        <v>23</v>
      </c>
      <c r="V10" s="18" t="s">
        <v>24</v>
      </c>
      <c r="W10" s="18" t="s">
        <v>25</v>
      </c>
      <c r="X10" s="18" t="s">
        <v>26</v>
      </c>
      <c r="Y10" s="18" t="s">
        <v>27</v>
      </c>
      <c r="Z10" s="18" t="s">
        <v>28</v>
      </c>
      <c r="AA10" s="18" t="s">
        <v>29</v>
      </c>
      <c r="AB10" s="18" t="s">
        <v>30</v>
      </c>
      <c r="AC10" s="18" t="s">
        <v>31</v>
      </c>
    </row>
    <row r="11" spans="1:29" s="4" customFormat="1" ht="42" customHeight="1" x14ac:dyDescent="0.3">
      <c r="A11" s="20" t="s">
        <v>246</v>
      </c>
      <c r="B11" s="20" t="s">
        <v>247</v>
      </c>
      <c r="C11" s="21" t="s">
        <v>69</v>
      </c>
      <c r="D11" s="21" t="s">
        <v>70</v>
      </c>
      <c r="E11" s="22" t="s">
        <v>69</v>
      </c>
      <c r="F11" s="23" t="s">
        <v>71</v>
      </c>
      <c r="G11" s="23">
        <v>21101</v>
      </c>
      <c r="H11" s="24" t="s">
        <v>211</v>
      </c>
      <c r="I11" s="44" t="s">
        <v>249</v>
      </c>
      <c r="J11" s="25" t="s">
        <v>96</v>
      </c>
      <c r="K11" s="21" t="s">
        <v>32</v>
      </c>
      <c r="L11" s="21" t="s">
        <v>32</v>
      </c>
      <c r="M11" s="21" t="s">
        <v>54</v>
      </c>
      <c r="N11" s="25">
        <v>2000</v>
      </c>
      <c r="O11" s="26">
        <f>0.97*1.16</f>
        <v>1.1252</v>
      </c>
      <c r="P11" s="13" t="s">
        <v>60</v>
      </c>
      <c r="Q11" s="19">
        <f>SUM(R11:AC11)</f>
        <v>2250.4</v>
      </c>
      <c r="R11" s="19"/>
      <c r="S11" s="19"/>
      <c r="T11" s="19">
        <f t="shared" ref="T11:T38" si="0">N11*O11</f>
        <v>2250.4</v>
      </c>
      <c r="U11" s="19"/>
      <c r="V11" s="19"/>
      <c r="W11" s="19"/>
      <c r="X11" s="19"/>
      <c r="Y11" s="19"/>
      <c r="Z11" s="19"/>
      <c r="AA11" s="19"/>
      <c r="AB11" s="19"/>
      <c r="AC11" s="19"/>
    </row>
    <row r="12" spans="1:29" s="4" customFormat="1" ht="30" customHeight="1" x14ac:dyDescent="0.3">
      <c r="A12" s="20" t="s">
        <v>246</v>
      </c>
      <c r="B12" s="20" t="s">
        <v>247</v>
      </c>
      <c r="C12" s="21" t="s">
        <v>69</v>
      </c>
      <c r="D12" s="21" t="s">
        <v>70</v>
      </c>
      <c r="E12" s="22" t="s">
        <v>69</v>
      </c>
      <c r="F12" s="23" t="s">
        <v>71</v>
      </c>
      <c r="G12" s="23">
        <v>21101</v>
      </c>
      <c r="H12" s="24" t="s">
        <v>211</v>
      </c>
      <c r="I12" s="44" t="s">
        <v>250</v>
      </c>
      <c r="J12" s="25" t="s">
        <v>41</v>
      </c>
      <c r="K12" s="21" t="s">
        <v>32</v>
      </c>
      <c r="L12" s="21" t="s">
        <v>32</v>
      </c>
      <c r="M12" s="21" t="s">
        <v>54</v>
      </c>
      <c r="N12" s="25">
        <v>20</v>
      </c>
      <c r="O12" s="26">
        <f>21.01*1.16</f>
        <v>24.371600000000001</v>
      </c>
      <c r="P12" s="13" t="s">
        <v>60</v>
      </c>
      <c r="Q12" s="19">
        <f t="shared" ref="Q12:Q75" si="1">SUM(R12:AC12)</f>
        <v>487.43200000000002</v>
      </c>
      <c r="R12" s="19"/>
      <c r="S12" s="19"/>
      <c r="T12" s="19">
        <f t="shared" si="0"/>
        <v>487.43200000000002</v>
      </c>
      <c r="U12" s="19"/>
      <c r="V12" s="19"/>
      <c r="W12" s="19"/>
      <c r="X12" s="19"/>
      <c r="Y12" s="19"/>
      <c r="Z12" s="19"/>
      <c r="AA12" s="19"/>
      <c r="AB12" s="19"/>
      <c r="AC12" s="19"/>
    </row>
    <row r="13" spans="1:29" s="4" customFormat="1" ht="30" customHeight="1" x14ac:dyDescent="0.3">
      <c r="A13" s="20" t="s">
        <v>246</v>
      </c>
      <c r="B13" s="20" t="s">
        <v>247</v>
      </c>
      <c r="C13" s="21" t="s">
        <v>69</v>
      </c>
      <c r="D13" s="21" t="s">
        <v>70</v>
      </c>
      <c r="E13" s="22" t="s">
        <v>69</v>
      </c>
      <c r="F13" s="23" t="s">
        <v>71</v>
      </c>
      <c r="G13" s="23">
        <v>21101</v>
      </c>
      <c r="H13" s="24" t="s">
        <v>211</v>
      </c>
      <c r="I13" s="44" t="s">
        <v>251</v>
      </c>
      <c r="J13" s="25" t="s">
        <v>39</v>
      </c>
      <c r="K13" s="21" t="s">
        <v>32</v>
      </c>
      <c r="L13" s="21" t="s">
        <v>32</v>
      </c>
      <c r="M13" s="21" t="s">
        <v>54</v>
      </c>
      <c r="N13" s="25">
        <v>15</v>
      </c>
      <c r="O13" s="26">
        <f>11.14*1.16</f>
        <v>12.9224</v>
      </c>
      <c r="P13" s="13" t="s">
        <v>60</v>
      </c>
      <c r="Q13" s="19">
        <f t="shared" si="1"/>
        <v>193.83599999999998</v>
      </c>
      <c r="R13" s="19"/>
      <c r="S13" s="19"/>
      <c r="T13" s="19">
        <f t="shared" si="0"/>
        <v>193.83599999999998</v>
      </c>
      <c r="U13" s="19"/>
      <c r="V13" s="19"/>
      <c r="W13" s="19"/>
      <c r="X13" s="19"/>
      <c r="Y13" s="19"/>
      <c r="Z13" s="19"/>
      <c r="AA13" s="19"/>
      <c r="AB13" s="19"/>
      <c r="AC13" s="19"/>
    </row>
    <row r="14" spans="1:29" s="4" customFormat="1" ht="30" customHeight="1" x14ac:dyDescent="0.3">
      <c r="A14" s="20" t="s">
        <v>246</v>
      </c>
      <c r="B14" s="20" t="s">
        <v>247</v>
      </c>
      <c r="C14" s="21" t="s">
        <v>69</v>
      </c>
      <c r="D14" s="21" t="s">
        <v>70</v>
      </c>
      <c r="E14" s="22" t="s">
        <v>69</v>
      </c>
      <c r="F14" s="23" t="s">
        <v>71</v>
      </c>
      <c r="G14" s="23">
        <v>21101</v>
      </c>
      <c r="H14" s="24" t="s">
        <v>211</v>
      </c>
      <c r="I14" s="44" t="s">
        <v>252</v>
      </c>
      <c r="J14" s="25" t="s">
        <v>97</v>
      </c>
      <c r="K14" s="21" t="s">
        <v>32</v>
      </c>
      <c r="L14" s="21" t="s">
        <v>32</v>
      </c>
      <c r="M14" s="21" t="s">
        <v>54</v>
      </c>
      <c r="N14" s="25">
        <v>18</v>
      </c>
      <c r="O14" s="26">
        <f>18.08*1.16</f>
        <v>20.972799999999996</v>
      </c>
      <c r="P14" s="13" t="s">
        <v>60</v>
      </c>
      <c r="Q14" s="19">
        <f t="shared" si="1"/>
        <v>377.51039999999995</v>
      </c>
      <c r="R14" s="19"/>
      <c r="S14" s="19"/>
      <c r="T14" s="19">
        <f t="shared" si="0"/>
        <v>377.51039999999995</v>
      </c>
      <c r="U14" s="19"/>
      <c r="V14" s="19"/>
      <c r="W14" s="19"/>
      <c r="X14" s="19"/>
      <c r="Y14" s="19"/>
      <c r="Z14" s="19"/>
      <c r="AA14" s="19"/>
      <c r="AB14" s="19"/>
      <c r="AC14" s="19"/>
    </row>
    <row r="15" spans="1:29" s="4" customFormat="1" ht="30" customHeight="1" x14ac:dyDescent="0.3">
      <c r="A15" s="20" t="s">
        <v>246</v>
      </c>
      <c r="B15" s="20" t="s">
        <v>247</v>
      </c>
      <c r="C15" s="21" t="s">
        <v>69</v>
      </c>
      <c r="D15" s="21" t="s">
        <v>70</v>
      </c>
      <c r="E15" s="22" t="s">
        <v>69</v>
      </c>
      <c r="F15" s="23" t="s">
        <v>71</v>
      </c>
      <c r="G15" s="23">
        <v>21101</v>
      </c>
      <c r="H15" s="24" t="s">
        <v>211</v>
      </c>
      <c r="I15" s="44" t="s">
        <v>253</v>
      </c>
      <c r="J15" s="25" t="s">
        <v>34</v>
      </c>
      <c r="K15" s="21" t="s">
        <v>32</v>
      </c>
      <c r="L15" s="21" t="s">
        <v>32</v>
      </c>
      <c r="M15" s="21" t="s">
        <v>54</v>
      </c>
      <c r="N15" s="25">
        <v>100</v>
      </c>
      <c r="O15" s="26">
        <f>13.8*1.16</f>
        <v>16.007999999999999</v>
      </c>
      <c r="P15" s="13" t="s">
        <v>60</v>
      </c>
      <c r="Q15" s="19">
        <f t="shared" si="1"/>
        <v>1600.8</v>
      </c>
      <c r="R15" s="19"/>
      <c r="S15" s="19"/>
      <c r="T15" s="19">
        <f t="shared" si="0"/>
        <v>1600.8</v>
      </c>
      <c r="U15" s="19"/>
      <c r="V15" s="19"/>
      <c r="W15" s="19"/>
      <c r="X15" s="19"/>
      <c r="Y15" s="19"/>
      <c r="Z15" s="19"/>
      <c r="AA15" s="19"/>
      <c r="AB15" s="19"/>
      <c r="AC15" s="19"/>
    </row>
    <row r="16" spans="1:29" s="4" customFormat="1" ht="30" customHeight="1" x14ac:dyDescent="0.3">
      <c r="A16" s="20" t="s">
        <v>246</v>
      </c>
      <c r="B16" s="20" t="s">
        <v>247</v>
      </c>
      <c r="C16" s="21" t="s">
        <v>69</v>
      </c>
      <c r="D16" s="21" t="s">
        <v>70</v>
      </c>
      <c r="E16" s="22" t="s">
        <v>69</v>
      </c>
      <c r="F16" s="23" t="s">
        <v>71</v>
      </c>
      <c r="G16" s="23">
        <v>21101</v>
      </c>
      <c r="H16" s="24" t="s">
        <v>211</v>
      </c>
      <c r="I16" s="44" t="s">
        <v>254</v>
      </c>
      <c r="J16" s="25" t="s">
        <v>48</v>
      </c>
      <c r="K16" s="21" t="s">
        <v>32</v>
      </c>
      <c r="L16" s="21" t="s">
        <v>32</v>
      </c>
      <c r="M16" s="21" t="s">
        <v>54</v>
      </c>
      <c r="N16" s="25">
        <v>75</v>
      </c>
      <c r="O16" s="26">
        <f>49.82*1.16</f>
        <v>57.791199999999996</v>
      </c>
      <c r="P16" s="13" t="s">
        <v>60</v>
      </c>
      <c r="Q16" s="19">
        <f t="shared" si="1"/>
        <v>4334.34</v>
      </c>
      <c r="R16" s="19"/>
      <c r="S16" s="19"/>
      <c r="T16" s="19">
        <f t="shared" si="0"/>
        <v>4334.34</v>
      </c>
      <c r="U16" s="19"/>
      <c r="V16" s="19"/>
      <c r="W16" s="19"/>
      <c r="X16" s="19"/>
      <c r="Y16" s="19"/>
      <c r="Z16" s="19"/>
      <c r="AA16" s="19"/>
      <c r="AB16" s="19"/>
      <c r="AC16" s="19"/>
    </row>
    <row r="17" spans="1:29" s="4" customFormat="1" ht="30" customHeight="1" x14ac:dyDescent="0.3">
      <c r="A17" s="20" t="s">
        <v>246</v>
      </c>
      <c r="B17" s="20" t="s">
        <v>247</v>
      </c>
      <c r="C17" s="21" t="s">
        <v>69</v>
      </c>
      <c r="D17" s="21" t="s">
        <v>70</v>
      </c>
      <c r="E17" s="22" t="s">
        <v>69</v>
      </c>
      <c r="F17" s="23" t="s">
        <v>71</v>
      </c>
      <c r="G17" s="23">
        <v>21101</v>
      </c>
      <c r="H17" s="24" t="s">
        <v>211</v>
      </c>
      <c r="I17" s="44" t="s">
        <v>255</v>
      </c>
      <c r="J17" s="25" t="s">
        <v>40</v>
      </c>
      <c r="K17" s="21" t="s">
        <v>32</v>
      </c>
      <c r="L17" s="21" t="s">
        <v>32</v>
      </c>
      <c r="M17" s="21" t="s">
        <v>54</v>
      </c>
      <c r="N17" s="25">
        <v>35</v>
      </c>
      <c r="O17" s="26">
        <f>9.76*1.16</f>
        <v>11.321599999999998</v>
      </c>
      <c r="P17" s="13" t="s">
        <v>60</v>
      </c>
      <c r="Q17" s="19">
        <f t="shared" si="1"/>
        <v>396.25599999999991</v>
      </c>
      <c r="R17" s="19"/>
      <c r="S17" s="19"/>
      <c r="T17" s="19">
        <f t="shared" si="0"/>
        <v>396.25599999999991</v>
      </c>
      <c r="U17" s="19"/>
      <c r="V17" s="19"/>
      <c r="W17" s="19"/>
      <c r="X17" s="19"/>
      <c r="Y17" s="19"/>
      <c r="Z17" s="19"/>
      <c r="AA17" s="19"/>
      <c r="AB17" s="19"/>
      <c r="AC17" s="19"/>
    </row>
    <row r="18" spans="1:29" s="4" customFormat="1" ht="30" customHeight="1" x14ac:dyDescent="0.3">
      <c r="A18" s="20" t="s">
        <v>246</v>
      </c>
      <c r="B18" s="20" t="s">
        <v>247</v>
      </c>
      <c r="C18" s="21" t="s">
        <v>69</v>
      </c>
      <c r="D18" s="21" t="s">
        <v>70</v>
      </c>
      <c r="E18" s="22" t="s">
        <v>69</v>
      </c>
      <c r="F18" s="23" t="s">
        <v>71</v>
      </c>
      <c r="G18" s="23">
        <v>21101</v>
      </c>
      <c r="H18" s="24" t="s">
        <v>211</v>
      </c>
      <c r="I18" s="44" t="s">
        <v>256</v>
      </c>
      <c r="J18" s="25" t="s">
        <v>82</v>
      </c>
      <c r="K18" s="21" t="s">
        <v>32</v>
      </c>
      <c r="L18" s="21" t="s">
        <v>32</v>
      </c>
      <c r="M18" s="21" t="s">
        <v>54</v>
      </c>
      <c r="N18" s="25">
        <v>45</v>
      </c>
      <c r="O18" s="26">
        <f>20.47*1.16</f>
        <v>23.745199999999997</v>
      </c>
      <c r="P18" s="13" t="s">
        <v>60</v>
      </c>
      <c r="Q18" s="19">
        <f t="shared" si="1"/>
        <v>1068.5339999999999</v>
      </c>
      <c r="R18" s="19"/>
      <c r="S18" s="19"/>
      <c r="T18" s="19">
        <f t="shared" si="0"/>
        <v>1068.5339999999999</v>
      </c>
      <c r="U18" s="19"/>
      <c r="V18" s="19"/>
      <c r="W18" s="19"/>
      <c r="X18" s="19"/>
      <c r="Y18" s="19"/>
      <c r="Z18" s="19"/>
      <c r="AA18" s="19"/>
      <c r="AB18" s="19"/>
      <c r="AC18" s="19"/>
    </row>
    <row r="19" spans="1:29" s="4" customFormat="1" ht="30" customHeight="1" x14ac:dyDescent="0.3">
      <c r="A19" s="20" t="s">
        <v>246</v>
      </c>
      <c r="B19" s="20" t="s">
        <v>247</v>
      </c>
      <c r="C19" s="21" t="s">
        <v>69</v>
      </c>
      <c r="D19" s="21" t="s">
        <v>70</v>
      </c>
      <c r="E19" s="22" t="s">
        <v>69</v>
      </c>
      <c r="F19" s="23" t="s">
        <v>71</v>
      </c>
      <c r="G19" s="23">
        <v>21101</v>
      </c>
      <c r="H19" s="24" t="s">
        <v>211</v>
      </c>
      <c r="I19" s="44" t="s">
        <v>257</v>
      </c>
      <c r="J19" s="25" t="s">
        <v>98</v>
      </c>
      <c r="K19" s="21" t="s">
        <v>32</v>
      </c>
      <c r="L19" s="21" t="s">
        <v>32</v>
      </c>
      <c r="M19" s="21" t="s">
        <v>54</v>
      </c>
      <c r="N19" s="25">
        <v>10</v>
      </c>
      <c r="O19" s="26">
        <f>325.57*1.16</f>
        <v>377.66119999999995</v>
      </c>
      <c r="P19" s="13" t="s">
        <v>60</v>
      </c>
      <c r="Q19" s="19">
        <f t="shared" si="1"/>
        <v>3776.6119999999996</v>
      </c>
      <c r="R19" s="19"/>
      <c r="S19" s="19"/>
      <c r="T19" s="19">
        <f t="shared" si="0"/>
        <v>3776.6119999999996</v>
      </c>
      <c r="U19" s="19"/>
      <c r="V19" s="19"/>
      <c r="W19" s="19"/>
      <c r="X19" s="19"/>
      <c r="Y19" s="19"/>
      <c r="Z19" s="19"/>
      <c r="AA19" s="19"/>
      <c r="AB19" s="19"/>
      <c r="AC19" s="19"/>
    </row>
    <row r="20" spans="1:29" s="4" customFormat="1" ht="30" customHeight="1" x14ac:dyDescent="0.3">
      <c r="A20" s="20" t="s">
        <v>246</v>
      </c>
      <c r="B20" s="20" t="s">
        <v>247</v>
      </c>
      <c r="C20" s="21" t="s">
        <v>69</v>
      </c>
      <c r="D20" s="21" t="s">
        <v>70</v>
      </c>
      <c r="E20" s="22" t="s">
        <v>69</v>
      </c>
      <c r="F20" s="23" t="s">
        <v>71</v>
      </c>
      <c r="G20" s="23">
        <v>21101</v>
      </c>
      <c r="H20" s="24" t="s">
        <v>211</v>
      </c>
      <c r="I20" s="44" t="s">
        <v>258</v>
      </c>
      <c r="J20" s="25" t="s">
        <v>99</v>
      </c>
      <c r="K20" s="21" t="s">
        <v>32</v>
      </c>
      <c r="L20" s="21" t="s">
        <v>32</v>
      </c>
      <c r="M20" s="21" t="s">
        <v>54</v>
      </c>
      <c r="N20" s="25">
        <v>62</v>
      </c>
      <c r="O20" s="26">
        <f>23.2*1.16</f>
        <v>26.911999999999999</v>
      </c>
      <c r="P20" s="13" t="s">
        <v>60</v>
      </c>
      <c r="Q20" s="19">
        <f t="shared" si="1"/>
        <v>1668.5439999999999</v>
      </c>
      <c r="R20" s="19"/>
      <c r="S20" s="19"/>
      <c r="T20" s="19">
        <f t="shared" si="0"/>
        <v>1668.5439999999999</v>
      </c>
      <c r="U20" s="19"/>
      <c r="V20" s="19"/>
      <c r="W20" s="19"/>
      <c r="X20" s="19"/>
      <c r="Y20" s="19"/>
      <c r="Z20" s="19"/>
      <c r="AA20" s="19"/>
      <c r="AB20" s="19"/>
      <c r="AC20" s="19"/>
    </row>
    <row r="21" spans="1:29" s="4" customFormat="1" ht="30" customHeight="1" x14ac:dyDescent="0.3">
      <c r="A21" s="20" t="s">
        <v>246</v>
      </c>
      <c r="B21" s="20" t="s">
        <v>247</v>
      </c>
      <c r="C21" s="21" t="s">
        <v>69</v>
      </c>
      <c r="D21" s="21" t="s">
        <v>70</v>
      </c>
      <c r="E21" s="22" t="s">
        <v>69</v>
      </c>
      <c r="F21" s="23" t="s">
        <v>71</v>
      </c>
      <c r="G21" s="23">
        <v>21101</v>
      </c>
      <c r="H21" s="24" t="s">
        <v>211</v>
      </c>
      <c r="I21" s="44" t="s">
        <v>259</v>
      </c>
      <c r="J21" s="25" t="s">
        <v>100</v>
      </c>
      <c r="K21" s="21" t="s">
        <v>32</v>
      </c>
      <c r="L21" s="21" t="s">
        <v>32</v>
      </c>
      <c r="M21" s="21" t="s">
        <v>54</v>
      </c>
      <c r="N21" s="25">
        <v>20</v>
      </c>
      <c r="O21" s="26">
        <f>56.48*1.16</f>
        <v>65.516799999999989</v>
      </c>
      <c r="P21" s="13" t="s">
        <v>60</v>
      </c>
      <c r="Q21" s="19">
        <f t="shared" si="1"/>
        <v>1310.3359999999998</v>
      </c>
      <c r="R21" s="19"/>
      <c r="S21" s="19"/>
      <c r="T21" s="19">
        <f t="shared" si="0"/>
        <v>1310.3359999999998</v>
      </c>
      <c r="U21" s="19"/>
      <c r="V21" s="19"/>
      <c r="W21" s="19"/>
      <c r="X21" s="19"/>
      <c r="Y21" s="19"/>
      <c r="Z21" s="19"/>
      <c r="AA21" s="19"/>
      <c r="AB21" s="19"/>
      <c r="AC21" s="19"/>
    </row>
    <row r="22" spans="1:29" s="4" customFormat="1" ht="30" customHeight="1" x14ac:dyDescent="0.3">
      <c r="A22" s="20" t="s">
        <v>246</v>
      </c>
      <c r="B22" s="20" t="s">
        <v>247</v>
      </c>
      <c r="C22" s="21" t="s">
        <v>69</v>
      </c>
      <c r="D22" s="21" t="s">
        <v>70</v>
      </c>
      <c r="E22" s="22" t="s">
        <v>69</v>
      </c>
      <c r="F22" s="23" t="s">
        <v>71</v>
      </c>
      <c r="G22" s="23">
        <v>21101</v>
      </c>
      <c r="H22" s="24" t="s">
        <v>211</v>
      </c>
      <c r="I22" s="44" t="s">
        <v>260</v>
      </c>
      <c r="J22" s="25" t="s">
        <v>101</v>
      </c>
      <c r="K22" s="21" t="s">
        <v>32</v>
      </c>
      <c r="L22" s="21" t="s">
        <v>32</v>
      </c>
      <c r="M22" s="21" t="s">
        <v>54</v>
      </c>
      <c r="N22" s="25">
        <v>20</v>
      </c>
      <c r="O22" s="26">
        <f>18.51*1.16</f>
        <v>21.471599999999999</v>
      </c>
      <c r="P22" s="13" t="s">
        <v>60</v>
      </c>
      <c r="Q22" s="19">
        <f t="shared" si="1"/>
        <v>429.43199999999996</v>
      </c>
      <c r="R22" s="19"/>
      <c r="S22" s="19"/>
      <c r="T22" s="19">
        <f t="shared" si="0"/>
        <v>429.43199999999996</v>
      </c>
      <c r="U22" s="19"/>
      <c r="V22" s="19"/>
      <c r="W22" s="19"/>
      <c r="X22" s="19"/>
      <c r="Y22" s="19"/>
      <c r="Z22" s="19"/>
      <c r="AA22" s="19"/>
      <c r="AB22" s="19"/>
      <c r="AC22" s="19"/>
    </row>
    <row r="23" spans="1:29" s="4" customFormat="1" ht="30" customHeight="1" x14ac:dyDescent="0.3">
      <c r="A23" s="20" t="s">
        <v>246</v>
      </c>
      <c r="B23" s="20" t="s">
        <v>247</v>
      </c>
      <c r="C23" s="21" t="s">
        <v>69</v>
      </c>
      <c r="D23" s="21" t="s">
        <v>70</v>
      </c>
      <c r="E23" s="22" t="s">
        <v>69</v>
      </c>
      <c r="F23" s="23" t="s">
        <v>71</v>
      </c>
      <c r="G23" s="23">
        <v>21101</v>
      </c>
      <c r="H23" s="24" t="s">
        <v>211</v>
      </c>
      <c r="I23" s="44" t="s">
        <v>261</v>
      </c>
      <c r="J23" s="25" t="s">
        <v>102</v>
      </c>
      <c r="K23" s="21" t="s">
        <v>32</v>
      </c>
      <c r="L23" s="21" t="s">
        <v>32</v>
      </c>
      <c r="M23" s="21" t="s">
        <v>54</v>
      </c>
      <c r="N23" s="25">
        <v>20</v>
      </c>
      <c r="O23" s="26">
        <f>3.07*1.16</f>
        <v>3.5611999999999995</v>
      </c>
      <c r="P23" s="13" t="s">
        <v>60</v>
      </c>
      <c r="Q23" s="19">
        <f t="shared" si="1"/>
        <v>71.22399999999999</v>
      </c>
      <c r="R23" s="19"/>
      <c r="S23" s="19"/>
      <c r="T23" s="19">
        <f t="shared" si="0"/>
        <v>71.22399999999999</v>
      </c>
      <c r="U23" s="19"/>
      <c r="V23" s="19"/>
      <c r="W23" s="19"/>
      <c r="X23" s="19"/>
      <c r="Y23" s="19"/>
      <c r="Z23" s="19"/>
      <c r="AA23" s="19"/>
      <c r="AB23" s="19"/>
      <c r="AC23" s="19"/>
    </row>
    <row r="24" spans="1:29" s="4" customFormat="1" ht="30" customHeight="1" x14ac:dyDescent="0.3">
      <c r="A24" s="20" t="s">
        <v>246</v>
      </c>
      <c r="B24" s="20" t="s">
        <v>247</v>
      </c>
      <c r="C24" s="21" t="s">
        <v>69</v>
      </c>
      <c r="D24" s="21" t="s">
        <v>70</v>
      </c>
      <c r="E24" s="22" t="s">
        <v>69</v>
      </c>
      <c r="F24" s="23" t="s">
        <v>71</v>
      </c>
      <c r="G24" s="23">
        <v>21101</v>
      </c>
      <c r="H24" s="24" t="s">
        <v>211</v>
      </c>
      <c r="I24" s="44" t="s">
        <v>262</v>
      </c>
      <c r="J24" s="25" t="s">
        <v>103</v>
      </c>
      <c r="K24" s="21" t="s">
        <v>32</v>
      </c>
      <c r="L24" s="21" t="s">
        <v>32</v>
      </c>
      <c r="M24" s="21" t="s">
        <v>54</v>
      </c>
      <c r="N24" s="25">
        <v>15</v>
      </c>
      <c r="O24" s="26">
        <f>30.94*1.16</f>
        <v>35.8904</v>
      </c>
      <c r="P24" s="13" t="s">
        <v>60</v>
      </c>
      <c r="Q24" s="19">
        <f t="shared" si="1"/>
        <v>538.35599999999999</v>
      </c>
      <c r="R24" s="19"/>
      <c r="S24" s="19"/>
      <c r="T24" s="19">
        <f t="shared" si="0"/>
        <v>538.35599999999999</v>
      </c>
      <c r="U24" s="19"/>
      <c r="V24" s="19"/>
      <c r="W24" s="19"/>
      <c r="X24" s="19"/>
      <c r="Y24" s="19"/>
      <c r="Z24" s="19"/>
      <c r="AA24" s="19"/>
      <c r="AB24" s="19"/>
      <c r="AC24" s="19"/>
    </row>
    <row r="25" spans="1:29" s="4" customFormat="1" ht="30" customHeight="1" x14ac:dyDescent="0.3">
      <c r="A25" s="20" t="s">
        <v>246</v>
      </c>
      <c r="B25" s="20" t="s">
        <v>247</v>
      </c>
      <c r="C25" s="21" t="s">
        <v>69</v>
      </c>
      <c r="D25" s="21" t="s">
        <v>70</v>
      </c>
      <c r="E25" s="22" t="s">
        <v>69</v>
      </c>
      <c r="F25" s="23" t="s">
        <v>71</v>
      </c>
      <c r="G25" s="23">
        <v>21101</v>
      </c>
      <c r="H25" s="24" t="s">
        <v>211</v>
      </c>
      <c r="I25" s="44" t="s">
        <v>263</v>
      </c>
      <c r="J25" s="25" t="s">
        <v>104</v>
      </c>
      <c r="K25" s="21" t="s">
        <v>32</v>
      </c>
      <c r="L25" s="21" t="s">
        <v>32</v>
      </c>
      <c r="M25" s="21" t="s">
        <v>54</v>
      </c>
      <c r="N25" s="25">
        <v>70</v>
      </c>
      <c r="O25" s="26">
        <f>9.84*1.16</f>
        <v>11.414399999999999</v>
      </c>
      <c r="P25" s="13" t="s">
        <v>60</v>
      </c>
      <c r="Q25" s="19">
        <f t="shared" si="1"/>
        <v>799.00799999999992</v>
      </c>
      <c r="R25" s="19"/>
      <c r="S25" s="19"/>
      <c r="T25" s="19">
        <f t="shared" si="0"/>
        <v>799.00799999999992</v>
      </c>
      <c r="U25" s="19"/>
      <c r="V25" s="19"/>
      <c r="W25" s="19"/>
      <c r="X25" s="19"/>
      <c r="Y25" s="19"/>
      <c r="Z25" s="19"/>
      <c r="AA25" s="19"/>
      <c r="AB25" s="19"/>
      <c r="AC25" s="19"/>
    </row>
    <row r="26" spans="1:29" s="4" customFormat="1" ht="30" customHeight="1" x14ac:dyDescent="0.3">
      <c r="A26" s="20" t="s">
        <v>246</v>
      </c>
      <c r="B26" s="20" t="s">
        <v>247</v>
      </c>
      <c r="C26" s="21" t="s">
        <v>69</v>
      </c>
      <c r="D26" s="21" t="s">
        <v>70</v>
      </c>
      <c r="E26" s="22" t="s">
        <v>69</v>
      </c>
      <c r="F26" s="23" t="s">
        <v>71</v>
      </c>
      <c r="G26" s="23">
        <v>21101</v>
      </c>
      <c r="H26" s="24" t="s">
        <v>211</v>
      </c>
      <c r="I26" s="44" t="s">
        <v>264</v>
      </c>
      <c r="J26" s="25" t="s">
        <v>37</v>
      </c>
      <c r="K26" s="21" t="s">
        <v>32</v>
      </c>
      <c r="L26" s="21" t="s">
        <v>32</v>
      </c>
      <c r="M26" s="21" t="s">
        <v>54</v>
      </c>
      <c r="N26" s="25">
        <v>25</v>
      </c>
      <c r="O26" s="26">
        <f>20.31*1.16</f>
        <v>23.559599999999996</v>
      </c>
      <c r="P26" s="13" t="s">
        <v>60</v>
      </c>
      <c r="Q26" s="19">
        <f t="shared" si="1"/>
        <v>588.9899999999999</v>
      </c>
      <c r="R26" s="19"/>
      <c r="S26" s="19"/>
      <c r="T26" s="19">
        <f t="shared" si="0"/>
        <v>588.9899999999999</v>
      </c>
      <c r="U26" s="19"/>
      <c r="V26" s="19"/>
      <c r="W26" s="19"/>
      <c r="X26" s="19"/>
      <c r="Y26" s="19"/>
      <c r="Z26" s="19"/>
      <c r="AA26" s="19"/>
      <c r="AB26" s="19"/>
      <c r="AC26" s="19"/>
    </row>
    <row r="27" spans="1:29" s="4" customFormat="1" ht="30" customHeight="1" x14ac:dyDescent="0.3">
      <c r="A27" s="20" t="s">
        <v>246</v>
      </c>
      <c r="B27" s="20" t="s">
        <v>247</v>
      </c>
      <c r="C27" s="21" t="s">
        <v>69</v>
      </c>
      <c r="D27" s="21" t="s">
        <v>70</v>
      </c>
      <c r="E27" s="22" t="s">
        <v>69</v>
      </c>
      <c r="F27" s="23" t="s">
        <v>71</v>
      </c>
      <c r="G27" s="23">
        <v>21101</v>
      </c>
      <c r="H27" s="24" t="s">
        <v>211</v>
      </c>
      <c r="I27" s="44" t="s">
        <v>265</v>
      </c>
      <c r="J27" s="25" t="s">
        <v>42</v>
      </c>
      <c r="K27" s="21" t="s">
        <v>32</v>
      </c>
      <c r="L27" s="21" t="s">
        <v>32</v>
      </c>
      <c r="M27" s="21" t="s">
        <v>54</v>
      </c>
      <c r="N27" s="25">
        <v>8</v>
      </c>
      <c r="O27" s="26">
        <f>119.72*1.16</f>
        <v>138.87519999999998</v>
      </c>
      <c r="P27" s="13" t="s">
        <v>60</v>
      </c>
      <c r="Q27" s="19">
        <f t="shared" si="1"/>
        <v>1111.0015999999998</v>
      </c>
      <c r="R27" s="19"/>
      <c r="S27" s="19"/>
      <c r="T27" s="19">
        <f t="shared" si="0"/>
        <v>1111.0015999999998</v>
      </c>
      <c r="U27" s="19"/>
      <c r="V27" s="19"/>
      <c r="W27" s="19"/>
      <c r="X27" s="19"/>
      <c r="Y27" s="19"/>
      <c r="Z27" s="19"/>
      <c r="AA27" s="19"/>
      <c r="AB27" s="19"/>
      <c r="AC27" s="19"/>
    </row>
    <row r="28" spans="1:29" s="4" customFormat="1" ht="30" customHeight="1" x14ac:dyDescent="0.3">
      <c r="A28" s="20" t="s">
        <v>246</v>
      </c>
      <c r="B28" s="20" t="s">
        <v>247</v>
      </c>
      <c r="C28" s="21" t="s">
        <v>69</v>
      </c>
      <c r="D28" s="21" t="s">
        <v>70</v>
      </c>
      <c r="E28" s="22" t="s">
        <v>69</v>
      </c>
      <c r="F28" s="23" t="s">
        <v>71</v>
      </c>
      <c r="G28" s="23">
        <v>21101</v>
      </c>
      <c r="H28" s="24" t="s">
        <v>211</v>
      </c>
      <c r="I28" s="44" t="s">
        <v>266</v>
      </c>
      <c r="J28" s="25" t="s">
        <v>105</v>
      </c>
      <c r="K28" s="21" t="s">
        <v>32</v>
      </c>
      <c r="L28" s="21" t="s">
        <v>32</v>
      </c>
      <c r="M28" s="21" t="s">
        <v>54</v>
      </c>
      <c r="N28" s="25">
        <v>75</v>
      </c>
      <c r="O28" s="26">
        <f>97.33*1.16</f>
        <v>112.90279999999998</v>
      </c>
      <c r="P28" s="13" t="s">
        <v>60</v>
      </c>
      <c r="Q28" s="19">
        <f t="shared" si="1"/>
        <v>8467.7099999999991</v>
      </c>
      <c r="R28" s="19"/>
      <c r="S28" s="19"/>
      <c r="T28" s="19">
        <f t="shared" si="0"/>
        <v>8467.7099999999991</v>
      </c>
      <c r="U28" s="19"/>
      <c r="V28" s="19"/>
      <c r="W28" s="19"/>
      <c r="X28" s="19"/>
      <c r="Y28" s="19"/>
      <c r="Z28" s="19"/>
      <c r="AA28" s="19"/>
      <c r="AB28" s="19"/>
      <c r="AC28" s="19"/>
    </row>
    <row r="29" spans="1:29" s="4" customFormat="1" ht="30" customHeight="1" x14ac:dyDescent="0.3">
      <c r="A29" s="20" t="s">
        <v>246</v>
      </c>
      <c r="B29" s="20" t="s">
        <v>247</v>
      </c>
      <c r="C29" s="21" t="s">
        <v>69</v>
      </c>
      <c r="D29" s="21" t="s">
        <v>70</v>
      </c>
      <c r="E29" s="22" t="s">
        <v>69</v>
      </c>
      <c r="F29" s="23" t="s">
        <v>71</v>
      </c>
      <c r="G29" s="23">
        <v>21101</v>
      </c>
      <c r="H29" s="24" t="s">
        <v>211</v>
      </c>
      <c r="I29" s="44" t="s">
        <v>267</v>
      </c>
      <c r="J29" s="25" t="s">
        <v>106</v>
      </c>
      <c r="K29" s="21" t="s">
        <v>32</v>
      </c>
      <c r="L29" s="21" t="s">
        <v>32</v>
      </c>
      <c r="M29" s="21" t="s">
        <v>54</v>
      </c>
      <c r="N29" s="25">
        <v>62</v>
      </c>
      <c r="O29" s="26">
        <f>11.29*1.16</f>
        <v>13.096399999999997</v>
      </c>
      <c r="P29" s="13" t="s">
        <v>60</v>
      </c>
      <c r="Q29" s="19">
        <f t="shared" si="1"/>
        <v>811.9767999999998</v>
      </c>
      <c r="R29" s="19"/>
      <c r="S29" s="19"/>
      <c r="T29" s="19">
        <f t="shared" si="0"/>
        <v>811.9767999999998</v>
      </c>
      <c r="U29" s="19"/>
      <c r="V29" s="19"/>
      <c r="W29" s="19"/>
      <c r="X29" s="19"/>
      <c r="Y29" s="19"/>
      <c r="Z29" s="19"/>
      <c r="AA29" s="19"/>
      <c r="AB29" s="19"/>
      <c r="AC29" s="19"/>
    </row>
    <row r="30" spans="1:29" s="4" customFormat="1" ht="30" customHeight="1" x14ac:dyDescent="0.3">
      <c r="A30" s="20" t="s">
        <v>246</v>
      </c>
      <c r="B30" s="20" t="s">
        <v>247</v>
      </c>
      <c r="C30" s="21" t="s">
        <v>69</v>
      </c>
      <c r="D30" s="21" t="s">
        <v>70</v>
      </c>
      <c r="E30" s="22" t="s">
        <v>69</v>
      </c>
      <c r="F30" s="23" t="s">
        <v>71</v>
      </c>
      <c r="G30" s="23">
        <v>21101</v>
      </c>
      <c r="H30" s="24" t="s">
        <v>211</v>
      </c>
      <c r="I30" s="44" t="s">
        <v>268</v>
      </c>
      <c r="J30" s="25" t="s">
        <v>51</v>
      </c>
      <c r="K30" s="21" t="s">
        <v>32</v>
      </c>
      <c r="L30" s="21" t="s">
        <v>32</v>
      </c>
      <c r="M30" s="21" t="s">
        <v>55</v>
      </c>
      <c r="N30" s="25">
        <v>5</v>
      </c>
      <c r="O30" s="26">
        <f>78.45*1.16</f>
        <v>91.001999999999995</v>
      </c>
      <c r="P30" s="13" t="s">
        <v>60</v>
      </c>
      <c r="Q30" s="19">
        <f t="shared" si="1"/>
        <v>455.01</v>
      </c>
      <c r="R30" s="19"/>
      <c r="S30" s="19"/>
      <c r="T30" s="19">
        <f t="shared" si="0"/>
        <v>455.01</v>
      </c>
      <c r="U30" s="19"/>
      <c r="V30" s="19"/>
      <c r="W30" s="19"/>
      <c r="X30" s="19"/>
      <c r="Y30" s="19"/>
      <c r="Z30" s="19"/>
      <c r="AA30" s="19"/>
      <c r="AB30" s="19"/>
      <c r="AC30" s="19"/>
    </row>
    <row r="31" spans="1:29" s="4" customFormat="1" ht="30" customHeight="1" x14ac:dyDescent="0.3">
      <c r="A31" s="20" t="s">
        <v>246</v>
      </c>
      <c r="B31" s="20" t="s">
        <v>247</v>
      </c>
      <c r="C31" s="21" t="s">
        <v>69</v>
      </c>
      <c r="D31" s="21" t="s">
        <v>70</v>
      </c>
      <c r="E31" s="22" t="s">
        <v>69</v>
      </c>
      <c r="F31" s="23" t="s">
        <v>71</v>
      </c>
      <c r="G31" s="23">
        <v>21101</v>
      </c>
      <c r="H31" s="24" t="s">
        <v>211</v>
      </c>
      <c r="I31" s="44" t="s">
        <v>269</v>
      </c>
      <c r="J31" s="25" t="s">
        <v>107</v>
      </c>
      <c r="K31" s="21" t="s">
        <v>32</v>
      </c>
      <c r="L31" s="21" t="s">
        <v>32</v>
      </c>
      <c r="M31" s="21" t="s">
        <v>55</v>
      </c>
      <c r="N31" s="25">
        <v>800</v>
      </c>
      <c r="O31" s="26">
        <f>2.1*1.16</f>
        <v>2.4359999999999999</v>
      </c>
      <c r="P31" s="13" t="s">
        <v>60</v>
      </c>
      <c r="Q31" s="19">
        <f t="shared" si="1"/>
        <v>1948.8</v>
      </c>
      <c r="R31" s="19"/>
      <c r="S31" s="19"/>
      <c r="T31" s="19">
        <f t="shared" si="0"/>
        <v>1948.8</v>
      </c>
      <c r="U31" s="19"/>
      <c r="V31" s="19"/>
      <c r="W31" s="19"/>
      <c r="X31" s="19"/>
      <c r="Y31" s="19"/>
      <c r="Z31" s="19"/>
      <c r="AA31" s="19"/>
      <c r="AB31" s="19"/>
      <c r="AC31" s="19"/>
    </row>
    <row r="32" spans="1:29" s="4" customFormat="1" ht="30" customHeight="1" x14ac:dyDescent="0.3">
      <c r="A32" s="20" t="s">
        <v>246</v>
      </c>
      <c r="B32" s="20" t="s">
        <v>247</v>
      </c>
      <c r="C32" s="21" t="s">
        <v>69</v>
      </c>
      <c r="D32" s="21" t="s">
        <v>70</v>
      </c>
      <c r="E32" s="22" t="s">
        <v>69</v>
      </c>
      <c r="F32" s="23" t="s">
        <v>71</v>
      </c>
      <c r="G32" s="23">
        <v>21101</v>
      </c>
      <c r="H32" s="24" t="s">
        <v>211</v>
      </c>
      <c r="I32" s="44" t="s">
        <v>270</v>
      </c>
      <c r="J32" s="25" t="s">
        <v>35</v>
      </c>
      <c r="K32" s="21" t="s">
        <v>32</v>
      </c>
      <c r="L32" s="21" t="s">
        <v>32</v>
      </c>
      <c r="M32" s="21" t="s">
        <v>55</v>
      </c>
      <c r="N32" s="25">
        <v>54</v>
      </c>
      <c r="O32" s="26">
        <f>8.7*1.16</f>
        <v>10.091999999999999</v>
      </c>
      <c r="P32" s="13" t="s">
        <v>60</v>
      </c>
      <c r="Q32" s="19">
        <f t="shared" si="1"/>
        <v>544.96799999999996</v>
      </c>
      <c r="R32" s="19"/>
      <c r="S32" s="19"/>
      <c r="T32" s="19">
        <f t="shared" si="0"/>
        <v>544.96799999999996</v>
      </c>
      <c r="U32" s="19"/>
      <c r="V32" s="19"/>
      <c r="W32" s="19"/>
      <c r="X32" s="19"/>
      <c r="Y32" s="19"/>
      <c r="Z32" s="19"/>
      <c r="AA32" s="19"/>
      <c r="AB32" s="19"/>
      <c r="AC32" s="19"/>
    </row>
    <row r="33" spans="1:29" s="4" customFormat="1" ht="30" customHeight="1" x14ac:dyDescent="0.3">
      <c r="A33" s="20" t="s">
        <v>246</v>
      </c>
      <c r="B33" s="20" t="s">
        <v>247</v>
      </c>
      <c r="C33" s="21" t="s">
        <v>69</v>
      </c>
      <c r="D33" s="21" t="s">
        <v>70</v>
      </c>
      <c r="E33" s="22" t="s">
        <v>69</v>
      </c>
      <c r="F33" s="23" t="s">
        <v>71</v>
      </c>
      <c r="G33" s="23">
        <v>21101</v>
      </c>
      <c r="H33" s="24" t="s">
        <v>211</v>
      </c>
      <c r="I33" s="44" t="s">
        <v>271</v>
      </c>
      <c r="J33" s="25" t="s">
        <v>84</v>
      </c>
      <c r="K33" s="21" t="s">
        <v>32</v>
      </c>
      <c r="L33" s="21" t="s">
        <v>32</v>
      </c>
      <c r="M33" s="21" t="s">
        <v>55</v>
      </c>
      <c r="N33" s="25">
        <v>5</v>
      </c>
      <c r="O33" s="26">
        <f>33.55*1.16</f>
        <v>38.917999999999992</v>
      </c>
      <c r="P33" s="13" t="s">
        <v>60</v>
      </c>
      <c r="Q33" s="19">
        <f t="shared" si="1"/>
        <v>194.58999999999997</v>
      </c>
      <c r="R33" s="19"/>
      <c r="S33" s="19"/>
      <c r="T33" s="19">
        <f t="shared" si="0"/>
        <v>194.58999999999997</v>
      </c>
      <c r="U33" s="19"/>
      <c r="V33" s="19"/>
      <c r="W33" s="19"/>
      <c r="X33" s="19"/>
      <c r="Y33" s="19"/>
      <c r="Z33" s="19"/>
      <c r="AA33" s="19"/>
      <c r="AB33" s="19"/>
      <c r="AC33" s="19"/>
    </row>
    <row r="34" spans="1:29" s="4" customFormat="1" ht="30" customHeight="1" x14ac:dyDescent="0.3">
      <c r="A34" s="20" t="s">
        <v>246</v>
      </c>
      <c r="B34" s="20" t="s">
        <v>247</v>
      </c>
      <c r="C34" s="21" t="s">
        <v>69</v>
      </c>
      <c r="D34" s="21" t="s">
        <v>70</v>
      </c>
      <c r="E34" s="22" t="s">
        <v>69</v>
      </c>
      <c r="F34" s="23" t="s">
        <v>71</v>
      </c>
      <c r="G34" s="23">
        <v>21101</v>
      </c>
      <c r="H34" s="24" t="s">
        <v>211</v>
      </c>
      <c r="I34" s="44" t="s">
        <v>272</v>
      </c>
      <c r="J34" s="25" t="s">
        <v>33</v>
      </c>
      <c r="K34" s="21" t="s">
        <v>32</v>
      </c>
      <c r="L34" s="21" t="s">
        <v>32</v>
      </c>
      <c r="M34" s="21" t="s">
        <v>55</v>
      </c>
      <c r="N34" s="25">
        <v>751</v>
      </c>
      <c r="O34" s="26">
        <f>2.84*1.16</f>
        <v>3.2943999999999996</v>
      </c>
      <c r="P34" s="13" t="s">
        <v>60</v>
      </c>
      <c r="Q34" s="19">
        <f t="shared" si="1"/>
        <v>2474.0943999999995</v>
      </c>
      <c r="R34" s="19"/>
      <c r="S34" s="19"/>
      <c r="T34" s="19">
        <f t="shared" si="0"/>
        <v>2474.0943999999995</v>
      </c>
      <c r="U34" s="19"/>
      <c r="V34" s="19"/>
      <c r="W34" s="19"/>
      <c r="X34" s="19"/>
      <c r="Y34" s="19"/>
      <c r="Z34" s="19"/>
      <c r="AA34" s="19"/>
      <c r="AB34" s="19"/>
      <c r="AC34" s="19"/>
    </row>
    <row r="35" spans="1:29" s="4" customFormat="1" ht="30" customHeight="1" x14ac:dyDescent="0.3">
      <c r="A35" s="20" t="s">
        <v>246</v>
      </c>
      <c r="B35" s="20" t="s">
        <v>247</v>
      </c>
      <c r="C35" s="21" t="s">
        <v>69</v>
      </c>
      <c r="D35" s="21" t="s">
        <v>70</v>
      </c>
      <c r="E35" s="22" t="s">
        <v>69</v>
      </c>
      <c r="F35" s="23" t="s">
        <v>71</v>
      </c>
      <c r="G35" s="23">
        <v>21101</v>
      </c>
      <c r="H35" s="24" t="s">
        <v>211</v>
      </c>
      <c r="I35" s="44" t="s">
        <v>273</v>
      </c>
      <c r="J35" s="25" t="s">
        <v>108</v>
      </c>
      <c r="K35" s="21" t="s">
        <v>32</v>
      </c>
      <c r="L35" s="21" t="s">
        <v>32</v>
      </c>
      <c r="M35" s="21" t="s">
        <v>55</v>
      </c>
      <c r="N35" s="25">
        <v>1</v>
      </c>
      <c r="O35" s="26">
        <f>79.42*1.16</f>
        <v>92.127200000000002</v>
      </c>
      <c r="P35" s="13" t="s">
        <v>60</v>
      </c>
      <c r="Q35" s="19">
        <f t="shared" si="1"/>
        <v>92.127200000000002</v>
      </c>
      <c r="R35" s="19"/>
      <c r="S35" s="19"/>
      <c r="T35" s="19">
        <f t="shared" si="0"/>
        <v>92.127200000000002</v>
      </c>
      <c r="U35" s="19"/>
      <c r="V35" s="19"/>
      <c r="W35" s="19"/>
      <c r="X35" s="19"/>
      <c r="Y35" s="19"/>
      <c r="Z35" s="19"/>
      <c r="AA35" s="19"/>
      <c r="AB35" s="19"/>
      <c r="AC35" s="19"/>
    </row>
    <row r="36" spans="1:29" s="4" customFormat="1" ht="30" customHeight="1" x14ac:dyDescent="0.3">
      <c r="A36" s="20" t="s">
        <v>246</v>
      </c>
      <c r="B36" s="20" t="s">
        <v>247</v>
      </c>
      <c r="C36" s="21" t="s">
        <v>69</v>
      </c>
      <c r="D36" s="21" t="s">
        <v>70</v>
      </c>
      <c r="E36" s="22" t="s">
        <v>69</v>
      </c>
      <c r="F36" s="23" t="s">
        <v>71</v>
      </c>
      <c r="G36" s="23">
        <v>21101</v>
      </c>
      <c r="H36" s="24" t="s">
        <v>211</v>
      </c>
      <c r="I36" s="44" t="s">
        <v>274</v>
      </c>
      <c r="J36" s="25" t="s">
        <v>53</v>
      </c>
      <c r="K36" s="21" t="s">
        <v>32</v>
      </c>
      <c r="L36" s="21" t="s">
        <v>32</v>
      </c>
      <c r="M36" s="21" t="s">
        <v>54</v>
      </c>
      <c r="N36" s="25">
        <v>177</v>
      </c>
      <c r="O36" s="26">
        <f>3*1.16</f>
        <v>3.4799999999999995</v>
      </c>
      <c r="P36" s="13" t="s">
        <v>60</v>
      </c>
      <c r="Q36" s="19">
        <f t="shared" si="1"/>
        <v>615.95999999999992</v>
      </c>
      <c r="R36" s="19"/>
      <c r="S36" s="19"/>
      <c r="T36" s="19">
        <f t="shared" si="0"/>
        <v>615.95999999999992</v>
      </c>
      <c r="U36" s="19"/>
      <c r="V36" s="19"/>
      <c r="W36" s="19"/>
      <c r="X36" s="19"/>
      <c r="Y36" s="19"/>
      <c r="Z36" s="19"/>
      <c r="AA36" s="19"/>
      <c r="AB36" s="19"/>
      <c r="AC36" s="19"/>
    </row>
    <row r="37" spans="1:29" s="4" customFormat="1" ht="30" customHeight="1" x14ac:dyDescent="0.3">
      <c r="A37" s="20" t="s">
        <v>246</v>
      </c>
      <c r="B37" s="20" t="s">
        <v>247</v>
      </c>
      <c r="C37" s="21" t="s">
        <v>69</v>
      </c>
      <c r="D37" s="21" t="s">
        <v>70</v>
      </c>
      <c r="E37" s="22" t="s">
        <v>69</v>
      </c>
      <c r="F37" s="23" t="s">
        <v>71</v>
      </c>
      <c r="G37" s="23">
        <v>21101</v>
      </c>
      <c r="H37" s="24" t="s">
        <v>211</v>
      </c>
      <c r="I37" s="44" t="s">
        <v>275</v>
      </c>
      <c r="J37" s="25" t="s">
        <v>109</v>
      </c>
      <c r="K37" s="21" t="s">
        <v>32</v>
      </c>
      <c r="L37" s="21" t="s">
        <v>32</v>
      </c>
      <c r="M37" s="21" t="s">
        <v>54</v>
      </c>
      <c r="N37" s="25">
        <v>44</v>
      </c>
      <c r="O37" s="26">
        <f>16.14*1.16</f>
        <v>18.7224</v>
      </c>
      <c r="P37" s="13" t="s">
        <v>60</v>
      </c>
      <c r="Q37" s="19">
        <f t="shared" si="1"/>
        <v>823.78560000000004</v>
      </c>
      <c r="R37" s="19"/>
      <c r="S37" s="19"/>
      <c r="T37" s="19">
        <f t="shared" si="0"/>
        <v>823.78560000000004</v>
      </c>
      <c r="U37" s="19"/>
      <c r="V37" s="19"/>
      <c r="W37" s="19"/>
      <c r="X37" s="19"/>
      <c r="Y37" s="19"/>
      <c r="Z37" s="19"/>
      <c r="AA37" s="19"/>
      <c r="AB37" s="19"/>
      <c r="AC37" s="19"/>
    </row>
    <row r="38" spans="1:29" s="4" customFormat="1" ht="30" customHeight="1" x14ac:dyDescent="0.3">
      <c r="A38" s="20" t="s">
        <v>246</v>
      </c>
      <c r="B38" s="20" t="s">
        <v>247</v>
      </c>
      <c r="C38" s="21" t="s">
        <v>69</v>
      </c>
      <c r="D38" s="21" t="s">
        <v>70</v>
      </c>
      <c r="E38" s="22" t="s">
        <v>69</v>
      </c>
      <c r="F38" s="23" t="s">
        <v>71</v>
      </c>
      <c r="G38" s="23">
        <v>21101</v>
      </c>
      <c r="H38" s="24" t="s">
        <v>211</v>
      </c>
      <c r="I38" s="44" t="s">
        <v>276</v>
      </c>
      <c r="J38" s="25" t="s">
        <v>110</v>
      </c>
      <c r="K38" s="21" t="s">
        <v>32</v>
      </c>
      <c r="L38" s="21" t="s">
        <v>32</v>
      </c>
      <c r="M38" s="21" t="s">
        <v>54</v>
      </c>
      <c r="N38" s="25">
        <v>10000</v>
      </c>
      <c r="O38" s="26">
        <f>0.74*1.16</f>
        <v>0.85839999999999994</v>
      </c>
      <c r="P38" s="13" t="s">
        <v>60</v>
      </c>
      <c r="Q38" s="19">
        <f t="shared" si="1"/>
        <v>8584</v>
      </c>
      <c r="R38" s="19"/>
      <c r="S38" s="19"/>
      <c r="T38" s="19">
        <f t="shared" si="0"/>
        <v>8584</v>
      </c>
      <c r="U38" s="19"/>
      <c r="V38" s="19"/>
      <c r="W38" s="19"/>
      <c r="X38" s="19"/>
      <c r="Y38" s="19"/>
      <c r="Z38" s="19"/>
      <c r="AA38" s="19"/>
      <c r="AB38" s="19"/>
      <c r="AC38" s="19"/>
    </row>
    <row r="39" spans="1:29" s="4" customFormat="1" ht="30" customHeight="1" x14ac:dyDescent="0.3">
      <c r="A39" s="20" t="s">
        <v>246</v>
      </c>
      <c r="B39" s="20" t="s">
        <v>247</v>
      </c>
      <c r="C39" s="21" t="s">
        <v>69</v>
      </c>
      <c r="D39" s="21" t="s">
        <v>70</v>
      </c>
      <c r="E39" s="22" t="s">
        <v>69</v>
      </c>
      <c r="F39" s="23" t="s">
        <v>71</v>
      </c>
      <c r="G39" s="23">
        <v>21101</v>
      </c>
      <c r="H39" s="24" t="s">
        <v>211</v>
      </c>
      <c r="I39" s="44" t="s">
        <v>277</v>
      </c>
      <c r="J39" s="25" t="s">
        <v>43</v>
      </c>
      <c r="K39" s="21" t="s">
        <v>32</v>
      </c>
      <c r="L39" s="21" t="s">
        <v>32</v>
      </c>
      <c r="M39" s="21" t="s">
        <v>54</v>
      </c>
      <c r="N39" s="25">
        <v>30</v>
      </c>
      <c r="O39" s="26">
        <f>34.82*1.16</f>
        <v>40.391199999999998</v>
      </c>
      <c r="P39" s="13" t="s">
        <v>60</v>
      </c>
      <c r="Q39" s="19">
        <f t="shared" si="1"/>
        <v>1211.7359999999999</v>
      </c>
      <c r="R39" s="19"/>
      <c r="S39" s="19"/>
      <c r="T39" s="19"/>
      <c r="U39" s="19"/>
      <c r="V39" s="19"/>
      <c r="W39" s="19">
        <f t="shared" ref="W39:W67" si="2">N39*O39</f>
        <v>1211.7359999999999</v>
      </c>
      <c r="X39" s="19"/>
      <c r="Y39" s="19"/>
      <c r="Z39" s="19"/>
      <c r="AA39" s="19"/>
      <c r="AB39" s="19"/>
      <c r="AC39" s="19"/>
    </row>
    <row r="40" spans="1:29" s="4" customFormat="1" ht="30" customHeight="1" x14ac:dyDescent="0.3">
      <c r="A40" s="20" t="s">
        <v>246</v>
      </c>
      <c r="B40" s="20" t="s">
        <v>247</v>
      </c>
      <c r="C40" s="21" t="s">
        <v>69</v>
      </c>
      <c r="D40" s="21" t="s">
        <v>70</v>
      </c>
      <c r="E40" s="22" t="s">
        <v>69</v>
      </c>
      <c r="F40" s="23" t="s">
        <v>71</v>
      </c>
      <c r="G40" s="23">
        <v>21101</v>
      </c>
      <c r="H40" s="24" t="s">
        <v>211</v>
      </c>
      <c r="I40" s="44" t="s">
        <v>278</v>
      </c>
      <c r="J40" s="25" t="s">
        <v>111</v>
      </c>
      <c r="K40" s="21" t="s">
        <v>32</v>
      </c>
      <c r="L40" s="21" t="s">
        <v>32</v>
      </c>
      <c r="M40" s="21" t="s">
        <v>54</v>
      </c>
      <c r="N40" s="25">
        <v>5</v>
      </c>
      <c r="O40" s="26">
        <f>61.08*1.16</f>
        <v>70.852799999999988</v>
      </c>
      <c r="P40" s="13" t="s">
        <v>60</v>
      </c>
      <c r="Q40" s="19">
        <f t="shared" si="1"/>
        <v>354.26399999999995</v>
      </c>
      <c r="R40" s="19"/>
      <c r="S40" s="19"/>
      <c r="T40" s="19"/>
      <c r="U40" s="19"/>
      <c r="V40" s="19"/>
      <c r="W40" s="19">
        <f t="shared" si="2"/>
        <v>354.26399999999995</v>
      </c>
      <c r="X40" s="19"/>
      <c r="Y40" s="19"/>
      <c r="Z40" s="19"/>
      <c r="AA40" s="19"/>
      <c r="AB40" s="19"/>
      <c r="AC40" s="19"/>
    </row>
    <row r="41" spans="1:29" s="4" customFormat="1" ht="30" customHeight="1" x14ac:dyDescent="0.3">
      <c r="A41" s="20" t="s">
        <v>246</v>
      </c>
      <c r="B41" s="20" t="s">
        <v>247</v>
      </c>
      <c r="C41" s="21" t="s">
        <v>69</v>
      </c>
      <c r="D41" s="21" t="s">
        <v>70</v>
      </c>
      <c r="E41" s="22" t="s">
        <v>69</v>
      </c>
      <c r="F41" s="23" t="s">
        <v>71</v>
      </c>
      <c r="G41" s="23">
        <v>21101</v>
      </c>
      <c r="H41" s="24" t="s">
        <v>211</v>
      </c>
      <c r="I41" s="44" t="s">
        <v>279</v>
      </c>
      <c r="J41" s="25" t="s">
        <v>112</v>
      </c>
      <c r="K41" s="21" t="s">
        <v>32</v>
      </c>
      <c r="L41" s="21" t="s">
        <v>32</v>
      </c>
      <c r="M41" s="21" t="s">
        <v>54</v>
      </c>
      <c r="N41" s="25">
        <v>60</v>
      </c>
      <c r="O41" s="26">
        <f>37.34*1.16</f>
        <v>43.314399999999999</v>
      </c>
      <c r="P41" s="13" t="s">
        <v>60</v>
      </c>
      <c r="Q41" s="19">
        <f t="shared" si="1"/>
        <v>2598.864</v>
      </c>
      <c r="R41" s="19"/>
      <c r="S41" s="19"/>
      <c r="T41" s="19"/>
      <c r="U41" s="19"/>
      <c r="V41" s="19"/>
      <c r="W41" s="19">
        <f t="shared" si="2"/>
        <v>2598.864</v>
      </c>
      <c r="X41" s="19"/>
      <c r="Y41" s="19"/>
      <c r="Z41" s="19"/>
      <c r="AA41" s="19"/>
      <c r="AB41" s="19"/>
      <c r="AC41" s="19"/>
    </row>
    <row r="42" spans="1:29" s="4" customFormat="1" ht="30" customHeight="1" x14ac:dyDescent="0.3">
      <c r="A42" s="20" t="s">
        <v>246</v>
      </c>
      <c r="B42" s="20" t="s">
        <v>247</v>
      </c>
      <c r="C42" s="21" t="s">
        <v>69</v>
      </c>
      <c r="D42" s="21" t="s">
        <v>70</v>
      </c>
      <c r="E42" s="22" t="s">
        <v>69</v>
      </c>
      <c r="F42" s="23" t="s">
        <v>71</v>
      </c>
      <c r="G42" s="23">
        <v>21101</v>
      </c>
      <c r="H42" s="24" t="s">
        <v>211</v>
      </c>
      <c r="I42" s="44" t="s">
        <v>280</v>
      </c>
      <c r="J42" s="25" t="s">
        <v>113</v>
      </c>
      <c r="K42" s="21" t="s">
        <v>32</v>
      </c>
      <c r="L42" s="21" t="s">
        <v>32</v>
      </c>
      <c r="M42" s="21" t="s">
        <v>54</v>
      </c>
      <c r="N42" s="25">
        <v>10</v>
      </c>
      <c r="O42" s="26">
        <f>34.82*1.16</f>
        <v>40.391199999999998</v>
      </c>
      <c r="P42" s="13" t="s">
        <v>60</v>
      </c>
      <c r="Q42" s="19">
        <f t="shared" si="1"/>
        <v>403.91199999999998</v>
      </c>
      <c r="R42" s="19"/>
      <c r="S42" s="19"/>
      <c r="T42" s="19"/>
      <c r="U42" s="19"/>
      <c r="V42" s="19"/>
      <c r="W42" s="19">
        <f t="shared" si="2"/>
        <v>403.91199999999998</v>
      </c>
      <c r="X42" s="19"/>
      <c r="Y42" s="19"/>
      <c r="Z42" s="19"/>
      <c r="AA42" s="19"/>
      <c r="AB42" s="19"/>
      <c r="AC42" s="19"/>
    </row>
    <row r="43" spans="1:29" s="4" customFormat="1" ht="30" customHeight="1" x14ac:dyDescent="0.3">
      <c r="A43" s="20" t="s">
        <v>246</v>
      </c>
      <c r="B43" s="20" t="s">
        <v>247</v>
      </c>
      <c r="C43" s="21" t="s">
        <v>69</v>
      </c>
      <c r="D43" s="21" t="s">
        <v>70</v>
      </c>
      <c r="E43" s="22" t="s">
        <v>69</v>
      </c>
      <c r="F43" s="23" t="s">
        <v>71</v>
      </c>
      <c r="G43" s="23">
        <v>21101</v>
      </c>
      <c r="H43" s="24" t="s">
        <v>211</v>
      </c>
      <c r="I43" s="44" t="s">
        <v>281</v>
      </c>
      <c r="J43" s="25" t="s">
        <v>114</v>
      </c>
      <c r="K43" s="21" t="s">
        <v>32</v>
      </c>
      <c r="L43" s="21" t="s">
        <v>32</v>
      </c>
      <c r="M43" s="21" t="s">
        <v>54</v>
      </c>
      <c r="N43" s="25">
        <v>30</v>
      </c>
      <c r="O43" s="26">
        <f>20.47*1.16</f>
        <v>23.745199999999997</v>
      </c>
      <c r="P43" s="13" t="s">
        <v>60</v>
      </c>
      <c r="Q43" s="19">
        <f t="shared" si="1"/>
        <v>712.35599999999988</v>
      </c>
      <c r="R43" s="19"/>
      <c r="S43" s="19"/>
      <c r="T43" s="19"/>
      <c r="U43" s="19"/>
      <c r="V43" s="19"/>
      <c r="W43" s="19">
        <f t="shared" si="2"/>
        <v>712.35599999999988</v>
      </c>
      <c r="X43" s="19"/>
      <c r="Y43" s="19"/>
      <c r="Z43" s="19"/>
      <c r="AA43" s="19"/>
      <c r="AB43" s="19"/>
      <c r="AC43" s="19"/>
    </row>
    <row r="44" spans="1:29" s="4" customFormat="1" ht="30" customHeight="1" x14ac:dyDescent="0.3">
      <c r="A44" s="20" t="s">
        <v>246</v>
      </c>
      <c r="B44" s="20" t="s">
        <v>247</v>
      </c>
      <c r="C44" s="21" t="s">
        <v>69</v>
      </c>
      <c r="D44" s="21" t="s">
        <v>70</v>
      </c>
      <c r="E44" s="22" t="s">
        <v>69</v>
      </c>
      <c r="F44" s="23" t="s">
        <v>71</v>
      </c>
      <c r="G44" s="23">
        <v>21101</v>
      </c>
      <c r="H44" s="24" t="s">
        <v>211</v>
      </c>
      <c r="I44" s="44" t="s">
        <v>282</v>
      </c>
      <c r="J44" s="25" t="s">
        <v>115</v>
      </c>
      <c r="K44" s="21" t="s">
        <v>32</v>
      </c>
      <c r="L44" s="21" t="s">
        <v>32</v>
      </c>
      <c r="M44" s="21" t="s">
        <v>54</v>
      </c>
      <c r="N44" s="25">
        <v>100</v>
      </c>
      <c r="O44" s="26">
        <f>2.93*1.16</f>
        <v>3.3988</v>
      </c>
      <c r="P44" s="13" t="s">
        <v>60</v>
      </c>
      <c r="Q44" s="19">
        <f t="shared" si="1"/>
        <v>339.88</v>
      </c>
      <c r="R44" s="19"/>
      <c r="S44" s="19"/>
      <c r="T44" s="19"/>
      <c r="U44" s="19"/>
      <c r="V44" s="19"/>
      <c r="W44" s="19">
        <f t="shared" si="2"/>
        <v>339.88</v>
      </c>
      <c r="X44" s="19"/>
      <c r="Y44" s="19"/>
      <c r="Z44" s="19"/>
      <c r="AA44" s="19"/>
      <c r="AB44" s="19"/>
      <c r="AC44" s="19"/>
    </row>
    <row r="45" spans="1:29" s="4" customFormat="1" ht="30" customHeight="1" x14ac:dyDescent="0.3">
      <c r="A45" s="20" t="s">
        <v>246</v>
      </c>
      <c r="B45" s="20" t="s">
        <v>247</v>
      </c>
      <c r="C45" s="21" t="s">
        <v>69</v>
      </c>
      <c r="D45" s="21" t="s">
        <v>70</v>
      </c>
      <c r="E45" s="22" t="s">
        <v>69</v>
      </c>
      <c r="F45" s="23" t="s">
        <v>71</v>
      </c>
      <c r="G45" s="23">
        <v>21101</v>
      </c>
      <c r="H45" s="24" t="s">
        <v>211</v>
      </c>
      <c r="I45" s="44" t="s">
        <v>283</v>
      </c>
      <c r="J45" s="25" t="s">
        <v>36</v>
      </c>
      <c r="K45" s="21" t="s">
        <v>32</v>
      </c>
      <c r="L45" s="21" t="s">
        <v>32</v>
      </c>
      <c r="M45" s="21" t="s">
        <v>56</v>
      </c>
      <c r="N45" s="25">
        <v>100</v>
      </c>
      <c r="O45" s="26">
        <f>38.94*1.16</f>
        <v>45.170399999999994</v>
      </c>
      <c r="P45" s="13" t="s">
        <v>60</v>
      </c>
      <c r="Q45" s="19">
        <f t="shared" si="1"/>
        <v>4517.0399999999991</v>
      </c>
      <c r="R45" s="19"/>
      <c r="S45" s="19"/>
      <c r="T45" s="19"/>
      <c r="U45" s="19"/>
      <c r="V45" s="19"/>
      <c r="W45" s="19">
        <f t="shared" si="2"/>
        <v>4517.0399999999991</v>
      </c>
      <c r="X45" s="19"/>
      <c r="Y45" s="19"/>
      <c r="Z45" s="19"/>
      <c r="AA45" s="19"/>
      <c r="AB45" s="19"/>
      <c r="AC45" s="19"/>
    </row>
    <row r="46" spans="1:29" s="4" customFormat="1" ht="30" customHeight="1" x14ac:dyDescent="0.3">
      <c r="A46" s="20" t="s">
        <v>246</v>
      </c>
      <c r="B46" s="20" t="s">
        <v>247</v>
      </c>
      <c r="C46" s="21" t="s">
        <v>69</v>
      </c>
      <c r="D46" s="21" t="s">
        <v>70</v>
      </c>
      <c r="E46" s="22" t="s">
        <v>69</v>
      </c>
      <c r="F46" s="23" t="s">
        <v>71</v>
      </c>
      <c r="G46" s="23">
        <v>21101</v>
      </c>
      <c r="H46" s="24" t="s">
        <v>211</v>
      </c>
      <c r="I46" s="44" t="s">
        <v>284</v>
      </c>
      <c r="J46" s="25" t="s">
        <v>116</v>
      </c>
      <c r="K46" s="21" t="s">
        <v>32</v>
      </c>
      <c r="L46" s="21" t="s">
        <v>32</v>
      </c>
      <c r="M46" s="21" t="s">
        <v>55</v>
      </c>
      <c r="N46" s="25">
        <v>1000</v>
      </c>
      <c r="O46" s="26">
        <f>2.72*1.16</f>
        <v>3.1552000000000002</v>
      </c>
      <c r="P46" s="13" t="s">
        <v>60</v>
      </c>
      <c r="Q46" s="19">
        <f t="shared" si="1"/>
        <v>3155.2000000000003</v>
      </c>
      <c r="R46" s="19"/>
      <c r="S46" s="19"/>
      <c r="T46" s="19"/>
      <c r="U46" s="19"/>
      <c r="V46" s="19"/>
      <c r="W46" s="19">
        <f t="shared" si="2"/>
        <v>3155.2000000000003</v>
      </c>
      <c r="X46" s="19"/>
      <c r="Y46" s="19"/>
      <c r="Z46" s="19"/>
      <c r="AA46" s="19"/>
      <c r="AB46" s="19"/>
      <c r="AC46" s="19"/>
    </row>
    <row r="47" spans="1:29" s="4" customFormat="1" ht="30" customHeight="1" x14ac:dyDescent="0.3">
      <c r="A47" s="20" t="s">
        <v>246</v>
      </c>
      <c r="B47" s="20" t="s">
        <v>247</v>
      </c>
      <c r="C47" s="21" t="s">
        <v>69</v>
      </c>
      <c r="D47" s="21" t="s">
        <v>70</v>
      </c>
      <c r="E47" s="22" t="s">
        <v>69</v>
      </c>
      <c r="F47" s="23" t="s">
        <v>71</v>
      </c>
      <c r="G47" s="23">
        <v>21101</v>
      </c>
      <c r="H47" s="24" t="s">
        <v>211</v>
      </c>
      <c r="I47" s="44" t="s">
        <v>285</v>
      </c>
      <c r="J47" s="25" t="s">
        <v>117</v>
      </c>
      <c r="K47" s="21" t="s">
        <v>32</v>
      </c>
      <c r="L47" s="21" t="s">
        <v>32</v>
      </c>
      <c r="M47" s="21" t="s">
        <v>57</v>
      </c>
      <c r="N47" s="25">
        <v>6</v>
      </c>
      <c r="O47" s="26">
        <f>39.28*1.16</f>
        <v>45.564799999999998</v>
      </c>
      <c r="P47" s="13" t="s">
        <v>60</v>
      </c>
      <c r="Q47" s="19">
        <f t="shared" si="1"/>
        <v>273.3888</v>
      </c>
      <c r="R47" s="19"/>
      <c r="S47" s="19"/>
      <c r="T47" s="19"/>
      <c r="U47" s="19"/>
      <c r="V47" s="19"/>
      <c r="W47" s="19">
        <f t="shared" si="2"/>
        <v>273.3888</v>
      </c>
      <c r="X47" s="19"/>
      <c r="Y47" s="19"/>
      <c r="Z47" s="19"/>
      <c r="AA47" s="19"/>
      <c r="AB47" s="19"/>
      <c r="AC47" s="19"/>
    </row>
    <row r="48" spans="1:29" s="4" customFormat="1" ht="30" customHeight="1" x14ac:dyDescent="0.3">
      <c r="A48" s="20" t="s">
        <v>246</v>
      </c>
      <c r="B48" s="20" t="s">
        <v>247</v>
      </c>
      <c r="C48" s="21" t="s">
        <v>69</v>
      </c>
      <c r="D48" s="21" t="s">
        <v>70</v>
      </c>
      <c r="E48" s="22" t="s">
        <v>69</v>
      </c>
      <c r="F48" s="23" t="s">
        <v>71</v>
      </c>
      <c r="G48" s="23">
        <v>21101</v>
      </c>
      <c r="H48" s="24" t="s">
        <v>211</v>
      </c>
      <c r="I48" s="44" t="s">
        <v>286</v>
      </c>
      <c r="J48" s="25" t="s">
        <v>38</v>
      </c>
      <c r="K48" s="21" t="s">
        <v>32</v>
      </c>
      <c r="L48" s="21" t="s">
        <v>32</v>
      </c>
      <c r="M48" s="21" t="s">
        <v>54</v>
      </c>
      <c r="N48" s="25">
        <v>13</v>
      </c>
      <c r="O48" s="26">
        <f>13.74*1.16</f>
        <v>15.9384</v>
      </c>
      <c r="P48" s="13" t="s">
        <v>60</v>
      </c>
      <c r="Q48" s="19">
        <f t="shared" si="1"/>
        <v>207.19919999999999</v>
      </c>
      <c r="R48" s="19"/>
      <c r="S48" s="19"/>
      <c r="T48" s="19"/>
      <c r="U48" s="19"/>
      <c r="V48" s="19"/>
      <c r="W48" s="19">
        <f t="shared" si="2"/>
        <v>207.19919999999999</v>
      </c>
      <c r="X48" s="19"/>
      <c r="Y48" s="19"/>
      <c r="Z48" s="19"/>
      <c r="AA48" s="19"/>
      <c r="AB48" s="19"/>
      <c r="AC48" s="19"/>
    </row>
    <row r="49" spans="1:29" s="4" customFormat="1" ht="30" customHeight="1" x14ac:dyDescent="0.3">
      <c r="A49" s="20" t="s">
        <v>246</v>
      </c>
      <c r="B49" s="20" t="s">
        <v>247</v>
      </c>
      <c r="C49" s="21" t="s">
        <v>69</v>
      </c>
      <c r="D49" s="21" t="s">
        <v>70</v>
      </c>
      <c r="E49" s="22" t="s">
        <v>69</v>
      </c>
      <c r="F49" s="23" t="s">
        <v>71</v>
      </c>
      <c r="G49" s="23">
        <v>21101</v>
      </c>
      <c r="H49" s="24" t="s">
        <v>211</v>
      </c>
      <c r="I49" s="44" t="s">
        <v>287</v>
      </c>
      <c r="J49" s="25" t="s">
        <v>118</v>
      </c>
      <c r="K49" s="21" t="s">
        <v>32</v>
      </c>
      <c r="L49" s="21" t="s">
        <v>32</v>
      </c>
      <c r="M49" s="21" t="s">
        <v>58</v>
      </c>
      <c r="N49" s="25">
        <v>10</v>
      </c>
      <c r="O49" s="26">
        <f>57.71*1.16</f>
        <v>66.943599999999989</v>
      </c>
      <c r="P49" s="13" t="s">
        <v>60</v>
      </c>
      <c r="Q49" s="19">
        <f t="shared" si="1"/>
        <v>669.43599999999992</v>
      </c>
      <c r="R49" s="19"/>
      <c r="S49" s="19"/>
      <c r="T49" s="19"/>
      <c r="U49" s="19"/>
      <c r="V49" s="19"/>
      <c r="W49" s="19">
        <f t="shared" si="2"/>
        <v>669.43599999999992</v>
      </c>
      <c r="X49" s="19"/>
      <c r="Y49" s="19"/>
      <c r="Z49" s="19"/>
      <c r="AA49" s="19"/>
      <c r="AB49" s="19"/>
      <c r="AC49" s="19"/>
    </row>
    <row r="50" spans="1:29" s="4" customFormat="1" ht="30" customHeight="1" x14ac:dyDescent="0.3">
      <c r="A50" s="20" t="s">
        <v>246</v>
      </c>
      <c r="B50" s="20" t="s">
        <v>247</v>
      </c>
      <c r="C50" s="21" t="s">
        <v>69</v>
      </c>
      <c r="D50" s="21" t="s">
        <v>70</v>
      </c>
      <c r="E50" s="22" t="s">
        <v>69</v>
      </c>
      <c r="F50" s="23" t="s">
        <v>71</v>
      </c>
      <c r="G50" s="23">
        <v>21101</v>
      </c>
      <c r="H50" s="24" t="s">
        <v>211</v>
      </c>
      <c r="I50" s="44" t="s">
        <v>288</v>
      </c>
      <c r="J50" s="25" t="s">
        <v>119</v>
      </c>
      <c r="K50" s="21" t="s">
        <v>32</v>
      </c>
      <c r="L50" s="21" t="s">
        <v>32</v>
      </c>
      <c r="M50" s="21" t="s">
        <v>56</v>
      </c>
      <c r="N50" s="25">
        <v>6</v>
      </c>
      <c r="O50" s="26">
        <f>327.96*1.16</f>
        <v>380.43359999999996</v>
      </c>
      <c r="P50" s="13" t="s">
        <v>60</v>
      </c>
      <c r="Q50" s="19">
        <f t="shared" si="1"/>
        <v>2282.6016</v>
      </c>
      <c r="R50" s="19"/>
      <c r="S50" s="19"/>
      <c r="T50" s="19"/>
      <c r="U50" s="19"/>
      <c r="V50" s="19"/>
      <c r="W50" s="19">
        <f t="shared" si="2"/>
        <v>2282.6016</v>
      </c>
      <c r="X50" s="19"/>
      <c r="Y50" s="19"/>
      <c r="Z50" s="19"/>
      <c r="AA50" s="19"/>
      <c r="AB50" s="19"/>
      <c r="AC50" s="19"/>
    </row>
    <row r="51" spans="1:29" s="4" customFormat="1" ht="30" customHeight="1" x14ac:dyDescent="0.3">
      <c r="A51" s="20" t="s">
        <v>246</v>
      </c>
      <c r="B51" s="20" t="s">
        <v>247</v>
      </c>
      <c r="C51" s="21" t="s">
        <v>69</v>
      </c>
      <c r="D51" s="21" t="s">
        <v>70</v>
      </c>
      <c r="E51" s="22" t="s">
        <v>69</v>
      </c>
      <c r="F51" s="23" t="s">
        <v>71</v>
      </c>
      <c r="G51" s="23">
        <v>21101</v>
      </c>
      <c r="H51" s="24" t="s">
        <v>211</v>
      </c>
      <c r="I51" s="44" t="s">
        <v>289</v>
      </c>
      <c r="J51" s="25" t="s">
        <v>77</v>
      </c>
      <c r="K51" s="21" t="s">
        <v>32</v>
      </c>
      <c r="L51" s="21" t="s">
        <v>32</v>
      </c>
      <c r="M51" s="21" t="s">
        <v>55</v>
      </c>
      <c r="N51" s="25">
        <v>60</v>
      </c>
      <c r="O51" s="26">
        <f>8.7*1.16</f>
        <v>10.091999999999999</v>
      </c>
      <c r="P51" s="13" t="s">
        <v>60</v>
      </c>
      <c r="Q51" s="19">
        <f t="shared" si="1"/>
        <v>605.52</v>
      </c>
      <c r="R51" s="19"/>
      <c r="S51" s="19"/>
      <c r="T51" s="19"/>
      <c r="U51" s="19"/>
      <c r="V51" s="19"/>
      <c r="W51" s="19">
        <f t="shared" si="2"/>
        <v>605.52</v>
      </c>
      <c r="X51" s="19"/>
      <c r="Y51" s="19"/>
      <c r="Z51" s="19"/>
      <c r="AA51" s="19"/>
      <c r="AB51" s="19"/>
      <c r="AC51" s="19"/>
    </row>
    <row r="52" spans="1:29" s="4" customFormat="1" ht="30" customHeight="1" x14ac:dyDescent="0.3">
      <c r="A52" s="20" t="s">
        <v>246</v>
      </c>
      <c r="B52" s="20" t="s">
        <v>247</v>
      </c>
      <c r="C52" s="21" t="s">
        <v>69</v>
      </c>
      <c r="D52" s="21" t="s">
        <v>70</v>
      </c>
      <c r="E52" s="22" t="s">
        <v>69</v>
      </c>
      <c r="F52" s="23" t="s">
        <v>71</v>
      </c>
      <c r="G52" s="23">
        <v>21101</v>
      </c>
      <c r="H52" s="24" t="s">
        <v>211</v>
      </c>
      <c r="I52" s="44" t="s">
        <v>290</v>
      </c>
      <c r="J52" s="25" t="s">
        <v>120</v>
      </c>
      <c r="K52" s="21" t="s">
        <v>32</v>
      </c>
      <c r="L52" s="21" t="s">
        <v>32</v>
      </c>
      <c r="M52" s="21" t="s">
        <v>56</v>
      </c>
      <c r="N52" s="25">
        <v>150</v>
      </c>
      <c r="O52" s="26">
        <f>6.47*1.16</f>
        <v>7.5051999999999994</v>
      </c>
      <c r="P52" s="13" t="s">
        <v>60</v>
      </c>
      <c r="Q52" s="19">
        <f t="shared" si="1"/>
        <v>1125.78</v>
      </c>
      <c r="R52" s="19"/>
      <c r="S52" s="19"/>
      <c r="T52" s="19"/>
      <c r="U52" s="19"/>
      <c r="V52" s="19"/>
      <c r="W52" s="19">
        <f t="shared" si="2"/>
        <v>1125.78</v>
      </c>
      <c r="X52" s="19"/>
      <c r="Y52" s="19"/>
      <c r="Z52" s="19"/>
      <c r="AA52" s="19"/>
      <c r="AB52" s="19"/>
      <c r="AC52" s="19"/>
    </row>
    <row r="53" spans="1:29" s="4" customFormat="1" ht="30" customHeight="1" x14ac:dyDescent="0.3">
      <c r="A53" s="20" t="s">
        <v>246</v>
      </c>
      <c r="B53" s="20" t="s">
        <v>247</v>
      </c>
      <c r="C53" s="21" t="s">
        <v>69</v>
      </c>
      <c r="D53" s="21" t="s">
        <v>70</v>
      </c>
      <c r="E53" s="22" t="s">
        <v>69</v>
      </c>
      <c r="F53" s="23" t="s">
        <v>71</v>
      </c>
      <c r="G53" s="23">
        <v>21101</v>
      </c>
      <c r="H53" s="24" t="s">
        <v>211</v>
      </c>
      <c r="I53" s="44" t="s">
        <v>291</v>
      </c>
      <c r="J53" s="25" t="s">
        <v>121</v>
      </c>
      <c r="K53" s="21" t="s">
        <v>32</v>
      </c>
      <c r="L53" s="21" t="s">
        <v>32</v>
      </c>
      <c r="M53" s="21" t="s">
        <v>55</v>
      </c>
      <c r="N53" s="25">
        <v>10</v>
      </c>
      <c r="O53" s="26">
        <f>67.82*1.16</f>
        <v>78.671199999999985</v>
      </c>
      <c r="P53" s="13" t="s">
        <v>60</v>
      </c>
      <c r="Q53" s="19">
        <f t="shared" si="1"/>
        <v>786.71199999999988</v>
      </c>
      <c r="R53" s="19"/>
      <c r="S53" s="19"/>
      <c r="T53" s="19"/>
      <c r="U53" s="19"/>
      <c r="V53" s="19"/>
      <c r="W53" s="19">
        <f t="shared" si="2"/>
        <v>786.71199999999988</v>
      </c>
      <c r="X53" s="19"/>
      <c r="Y53" s="19"/>
      <c r="Z53" s="19"/>
      <c r="AA53" s="19"/>
      <c r="AB53" s="19"/>
      <c r="AC53" s="19"/>
    </row>
    <row r="54" spans="1:29" s="4" customFormat="1" ht="30" customHeight="1" x14ac:dyDescent="0.3">
      <c r="A54" s="20" t="s">
        <v>246</v>
      </c>
      <c r="B54" s="20" t="s">
        <v>247</v>
      </c>
      <c r="C54" s="21" t="s">
        <v>69</v>
      </c>
      <c r="D54" s="21" t="s">
        <v>70</v>
      </c>
      <c r="E54" s="22" t="s">
        <v>69</v>
      </c>
      <c r="F54" s="23" t="s">
        <v>71</v>
      </c>
      <c r="G54" s="23">
        <v>21101</v>
      </c>
      <c r="H54" s="24" t="s">
        <v>211</v>
      </c>
      <c r="I54" s="44" t="s">
        <v>292</v>
      </c>
      <c r="J54" s="25" t="s">
        <v>50</v>
      </c>
      <c r="K54" s="21" t="s">
        <v>32</v>
      </c>
      <c r="L54" s="21" t="s">
        <v>32</v>
      </c>
      <c r="M54" s="21" t="s">
        <v>56</v>
      </c>
      <c r="N54" s="25">
        <v>12</v>
      </c>
      <c r="O54" s="26">
        <f>6.94*1.16</f>
        <v>8.0503999999999998</v>
      </c>
      <c r="P54" s="13" t="s">
        <v>60</v>
      </c>
      <c r="Q54" s="19">
        <f t="shared" si="1"/>
        <v>96.604799999999997</v>
      </c>
      <c r="R54" s="19"/>
      <c r="S54" s="19"/>
      <c r="T54" s="19"/>
      <c r="U54" s="19"/>
      <c r="V54" s="19"/>
      <c r="W54" s="19">
        <f t="shared" si="2"/>
        <v>96.604799999999997</v>
      </c>
      <c r="X54" s="19"/>
      <c r="Y54" s="19"/>
      <c r="Z54" s="19"/>
      <c r="AA54" s="19"/>
      <c r="AB54" s="19"/>
      <c r="AC54" s="19"/>
    </row>
    <row r="55" spans="1:29" s="4" customFormat="1" ht="30" customHeight="1" x14ac:dyDescent="0.3">
      <c r="A55" s="20" t="s">
        <v>246</v>
      </c>
      <c r="B55" s="20" t="s">
        <v>247</v>
      </c>
      <c r="C55" s="21" t="s">
        <v>69</v>
      </c>
      <c r="D55" s="21" t="s">
        <v>70</v>
      </c>
      <c r="E55" s="22" t="s">
        <v>69</v>
      </c>
      <c r="F55" s="23" t="s">
        <v>71</v>
      </c>
      <c r="G55" s="23">
        <v>21101</v>
      </c>
      <c r="H55" s="24" t="s">
        <v>211</v>
      </c>
      <c r="I55" s="44" t="s">
        <v>293</v>
      </c>
      <c r="J55" s="25" t="s">
        <v>122</v>
      </c>
      <c r="K55" s="21" t="s">
        <v>32</v>
      </c>
      <c r="L55" s="21" t="s">
        <v>32</v>
      </c>
      <c r="M55" s="21" t="s">
        <v>55</v>
      </c>
      <c r="N55" s="25">
        <v>120</v>
      </c>
      <c r="O55" s="26">
        <f>3.02*1.16</f>
        <v>3.5031999999999996</v>
      </c>
      <c r="P55" s="13" t="s">
        <v>60</v>
      </c>
      <c r="Q55" s="19">
        <f t="shared" si="1"/>
        <v>420.38399999999996</v>
      </c>
      <c r="R55" s="19"/>
      <c r="S55" s="19"/>
      <c r="T55" s="19"/>
      <c r="U55" s="19"/>
      <c r="V55" s="19"/>
      <c r="W55" s="19">
        <f t="shared" si="2"/>
        <v>420.38399999999996</v>
      </c>
      <c r="X55" s="19"/>
      <c r="Y55" s="19"/>
      <c r="Z55" s="19"/>
      <c r="AA55" s="19"/>
      <c r="AB55" s="19"/>
      <c r="AC55" s="19"/>
    </row>
    <row r="56" spans="1:29" s="4" customFormat="1" ht="30" customHeight="1" x14ac:dyDescent="0.3">
      <c r="A56" s="20" t="s">
        <v>246</v>
      </c>
      <c r="B56" s="20" t="s">
        <v>247</v>
      </c>
      <c r="C56" s="21" t="s">
        <v>69</v>
      </c>
      <c r="D56" s="21" t="s">
        <v>70</v>
      </c>
      <c r="E56" s="22" t="s">
        <v>69</v>
      </c>
      <c r="F56" s="23" t="s">
        <v>71</v>
      </c>
      <c r="G56" s="23">
        <v>21101</v>
      </c>
      <c r="H56" s="24" t="s">
        <v>211</v>
      </c>
      <c r="I56" s="44" t="s">
        <v>294</v>
      </c>
      <c r="J56" s="25" t="s">
        <v>123</v>
      </c>
      <c r="K56" s="21" t="s">
        <v>32</v>
      </c>
      <c r="L56" s="21" t="s">
        <v>32</v>
      </c>
      <c r="M56" s="21" t="s">
        <v>56</v>
      </c>
      <c r="N56" s="25">
        <v>2</v>
      </c>
      <c r="O56" s="26">
        <f>16.2*1.16</f>
        <v>18.791999999999998</v>
      </c>
      <c r="P56" s="13" t="s">
        <v>60</v>
      </c>
      <c r="Q56" s="19">
        <f t="shared" si="1"/>
        <v>37.583999999999996</v>
      </c>
      <c r="R56" s="19"/>
      <c r="S56" s="19"/>
      <c r="T56" s="19"/>
      <c r="U56" s="19"/>
      <c r="V56" s="19"/>
      <c r="W56" s="19">
        <f t="shared" si="2"/>
        <v>37.583999999999996</v>
      </c>
      <c r="X56" s="19"/>
      <c r="Y56" s="19"/>
      <c r="Z56" s="19"/>
      <c r="AA56" s="19"/>
      <c r="AB56" s="19"/>
      <c r="AC56" s="19"/>
    </row>
    <row r="57" spans="1:29" s="4" customFormat="1" ht="30" customHeight="1" x14ac:dyDescent="0.3">
      <c r="A57" s="20" t="s">
        <v>246</v>
      </c>
      <c r="B57" s="20" t="s">
        <v>247</v>
      </c>
      <c r="C57" s="21" t="s">
        <v>69</v>
      </c>
      <c r="D57" s="21" t="s">
        <v>70</v>
      </c>
      <c r="E57" s="22" t="s">
        <v>69</v>
      </c>
      <c r="F57" s="23" t="s">
        <v>71</v>
      </c>
      <c r="G57" s="23">
        <v>21101</v>
      </c>
      <c r="H57" s="24" t="s">
        <v>211</v>
      </c>
      <c r="I57" s="44" t="s">
        <v>295</v>
      </c>
      <c r="J57" s="25" t="s">
        <v>47</v>
      </c>
      <c r="K57" s="21" t="s">
        <v>32</v>
      </c>
      <c r="L57" s="21" t="s">
        <v>32</v>
      </c>
      <c r="M57" s="21" t="s">
        <v>54</v>
      </c>
      <c r="N57" s="25">
        <v>20</v>
      </c>
      <c r="O57" s="26">
        <f>19.26*1.16</f>
        <v>22.3416</v>
      </c>
      <c r="P57" s="13" t="s">
        <v>60</v>
      </c>
      <c r="Q57" s="19">
        <f t="shared" si="1"/>
        <v>446.83199999999999</v>
      </c>
      <c r="R57" s="19"/>
      <c r="S57" s="19"/>
      <c r="T57" s="19"/>
      <c r="U57" s="19"/>
      <c r="V57" s="19"/>
      <c r="W57" s="19">
        <f t="shared" si="2"/>
        <v>446.83199999999999</v>
      </c>
      <c r="X57" s="19"/>
      <c r="Y57" s="19"/>
      <c r="Z57" s="19"/>
      <c r="AA57" s="19"/>
      <c r="AB57" s="19"/>
      <c r="AC57" s="19"/>
    </row>
    <row r="58" spans="1:29" s="4" customFormat="1" ht="30" customHeight="1" x14ac:dyDescent="0.3">
      <c r="A58" s="20" t="s">
        <v>246</v>
      </c>
      <c r="B58" s="20" t="s">
        <v>247</v>
      </c>
      <c r="C58" s="21" t="s">
        <v>69</v>
      </c>
      <c r="D58" s="21" t="s">
        <v>70</v>
      </c>
      <c r="E58" s="22" t="s">
        <v>69</v>
      </c>
      <c r="F58" s="23" t="s">
        <v>71</v>
      </c>
      <c r="G58" s="23">
        <v>21101</v>
      </c>
      <c r="H58" s="24" t="s">
        <v>211</v>
      </c>
      <c r="I58" s="44" t="s">
        <v>296</v>
      </c>
      <c r="J58" s="25" t="s">
        <v>124</v>
      </c>
      <c r="K58" s="21" t="s">
        <v>32</v>
      </c>
      <c r="L58" s="21" t="s">
        <v>32</v>
      </c>
      <c r="M58" s="21" t="s">
        <v>54</v>
      </c>
      <c r="N58" s="25">
        <v>5000</v>
      </c>
      <c r="O58" s="26">
        <f>0.63*1.16</f>
        <v>0.73080000000000001</v>
      </c>
      <c r="P58" s="13" t="s">
        <v>60</v>
      </c>
      <c r="Q58" s="19">
        <f t="shared" si="1"/>
        <v>3654</v>
      </c>
      <c r="R58" s="19"/>
      <c r="S58" s="19"/>
      <c r="T58" s="19"/>
      <c r="U58" s="19"/>
      <c r="V58" s="19"/>
      <c r="W58" s="19">
        <f t="shared" si="2"/>
        <v>3654</v>
      </c>
      <c r="X58" s="19"/>
      <c r="Y58" s="19"/>
      <c r="Z58" s="19"/>
      <c r="AA58" s="19"/>
      <c r="AB58" s="19"/>
      <c r="AC58" s="19"/>
    </row>
    <row r="59" spans="1:29" s="4" customFormat="1" ht="30" customHeight="1" x14ac:dyDescent="0.3">
      <c r="A59" s="20" t="s">
        <v>246</v>
      </c>
      <c r="B59" s="20" t="s">
        <v>247</v>
      </c>
      <c r="C59" s="21" t="s">
        <v>69</v>
      </c>
      <c r="D59" s="21" t="s">
        <v>70</v>
      </c>
      <c r="E59" s="22" t="s">
        <v>69</v>
      </c>
      <c r="F59" s="23" t="s">
        <v>71</v>
      </c>
      <c r="G59" s="23">
        <v>21101</v>
      </c>
      <c r="H59" s="24" t="s">
        <v>211</v>
      </c>
      <c r="I59" s="44" t="s">
        <v>297</v>
      </c>
      <c r="J59" s="25" t="s">
        <v>125</v>
      </c>
      <c r="K59" s="21" t="s">
        <v>32</v>
      </c>
      <c r="L59" s="21" t="s">
        <v>32</v>
      </c>
      <c r="M59" s="21" t="s">
        <v>54</v>
      </c>
      <c r="N59" s="25">
        <v>200</v>
      </c>
      <c r="O59" s="26">
        <f>2.6*1.16</f>
        <v>3.016</v>
      </c>
      <c r="P59" s="13" t="s">
        <v>60</v>
      </c>
      <c r="Q59" s="19">
        <f t="shared" si="1"/>
        <v>603.20000000000005</v>
      </c>
      <c r="R59" s="19"/>
      <c r="S59" s="19"/>
      <c r="T59" s="19"/>
      <c r="U59" s="19"/>
      <c r="V59" s="19"/>
      <c r="W59" s="19">
        <f t="shared" si="2"/>
        <v>603.20000000000005</v>
      </c>
      <c r="X59" s="19"/>
      <c r="Y59" s="19"/>
      <c r="Z59" s="19"/>
      <c r="AA59" s="19"/>
      <c r="AB59" s="19"/>
      <c r="AC59" s="19"/>
    </row>
    <row r="60" spans="1:29" s="4" customFormat="1" ht="30" customHeight="1" x14ac:dyDescent="0.3">
      <c r="A60" s="20" t="s">
        <v>246</v>
      </c>
      <c r="B60" s="20" t="s">
        <v>247</v>
      </c>
      <c r="C60" s="21" t="s">
        <v>69</v>
      </c>
      <c r="D60" s="21" t="s">
        <v>70</v>
      </c>
      <c r="E60" s="22" t="s">
        <v>69</v>
      </c>
      <c r="F60" s="23" t="s">
        <v>71</v>
      </c>
      <c r="G60" s="23">
        <v>21101</v>
      </c>
      <c r="H60" s="24" t="s">
        <v>211</v>
      </c>
      <c r="I60" s="44" t="s">
        <v>298</v>
      </c>
      <c r="J60" s="25" t="s">
        <v>126</v>
      </c>
      <c r="K60" s="21" t="s">
        <v>32</v>
      </c>
      <c r="L60" s="21" t="s">
        <v>32</v>
      </c>
      <c r="M60" s="21" t="s">
        <v>54</v>
      </c>
      <c r="N60" s="25">
        <v>100</v>
      </c>
      <c r="O60" s="26">
        <f>12.84*1.16</f>
        <v>14.894399999999999</v>
      </c>
      <c r="P60" s="13" t="s">
        <v>60</v>
      </c>
      <c r="Q60" s="19">
        <f t="shared" si="1"/>
        <v>1489.4399999999998</v>
      </c>
      <c r="R60" s="19"/>
      <c r="S60" s="19"/>
      <c r="T60" s="19"/>
      <c r="U60" s="19"/>
      <c r="V60" s="19"/>
      <c r="W60" s="19">
        <f t="shared" si="2"/>
        <v>1489.4399999999998</v>
      </c>
      <c r="X60" s="19"/>
      <c r="Y60" s="19"/>
      <c r="Z60" s="19"/>
      <c r="AA60" s="19"/>
      <c r="AB60" s="19"/>
      <c r="AC60" s="19"/>
    </row>
    <row r="61" spans="1:29" s="4" customFormat="1" ht="30" customHeight="1" x14ac:dyDescent="0.3">
      <c r="A61" s="20" t="s">
        <v>246</v>
      </c>
      <c r="B61" s="20" t="s">
        <v>247</v>
      </c>
      <c r="C61" s="21" t="s">
        <v>69</v>
      </c>
      <c r="D61" s="21" t="s">
        <v>70</v>
      </c>
      <c r="E61" s="22" t="s">
        <v>69</v>
      </c>
      <c r="F61" s="23" t="s">
        <v>71</v>
      </c>
      <c r="G61" s="23">
        <v>21101</v>
      </c>
      <c r="H61" s="24" t="s">
        <v>211</v>
      </c>
      <c r="I61" s="44" t="s">
        <v>299</v>
      </c>
      <c r="J61" s="44" t="s">
        <v>300</v>
      </c>
      <c r="K61" s="21" t="s">
        <v>32</v>
      </c>
      <c r="L61" s="21" t="s">
        <v>32</v>
      </c>
      <c r="M61" s="21" t="s">
        <v>301</v>
      </c>
      <c r="N61" s="25">
        <v>2</v>
      </c>
      <c r="O61" s="26">
        <f>1111.66*1.16</f>
        <v>1289.5255999999999</v>
      </c>
      <c r="P61" s="13" t="s">
        <v>60</v>
      </c>
      <c r="Q61" s="19">
        <f t="shared" si="1"/>
        <v>2579.0511999999999</v>
      </c>
      <c r="R61" s="19"/>
      <c r="S61" s="19"/>
      <c r="T61" s="19"/>
      <c r="U61" s="19"/>
      <c r="V61" s="19"/>
      <c r="W61" s="19">
        <f t="shared" si="2"/>
        <v>2579.0511999999999</v>
      </c>
      <c r="X61" s="19"/>
      <c r="Y61" s="19"/>
      <c r="Z61" s="19"/>
      <c r="AA61" s="19"/>
      <c r="AB61" s="19"/>
      <c r="AC61" s="19"/>
    </row>
    <row r="62" spans="1:29" s="4" customFormat="1" ht="30" customHeight="1" x14ac:dyDescent="0.3">
      <c r="A62" s="20" t="s">
        <v>246</v>
      </c>
      <c r="B62" s="20" t="s">
        <v>247</v>
      </c>
      <c r="C62" s="21" t="s">
        <v>69</v>
      </c>
      <c r="D62" s="21" t="s">
        <v>70</v>
      </c>
      <c r="E62" s="22" t="s">
        <v>69</v>
      </c>
      <c r="F62" s="23" t="s">
        <v>71</v>
      </c>
      <c r="G62" s="23">
        <v>21101</v>
      </c>
      <c r="H62" s="24" t="s">
        <v>211</v>
      </c>
      <c r="I62" s="44" t="s">
        <v>302</v>
      </c>
      <c r="J62" s="25" t="s">
        <v>127</v>
      </c>
      <c r="K62" s="21" t="s">
        <v>32</v>
      </c>
      <c r="L62" s="21" t="s">
        <v>32</v>
      </c>
      <c r="M62" s="21" t="s">
        <v>54</v>
      </c>
      <c r="N62" s="25">
        <v>100</v>
      </c>
      <c r="O62" s="26">
        <f>1.67*1.16</f>
        <v>1.9371999999999998</v>
      </c>
      <c r="P62" s="13" t="s">
        <v>60</v>
      </c>
      <c r="Q62" s="19">
        <f t="shared" si="1"/>
        <v>193.71999999999997</v>
      </c>
      <c r="R62" s="19"/>
      <c r="S62" s="19"/>
      <c r="T62" s="19"/>
      <c r="U62" s="19"/>
      <c r="V62" s="19"/>
      <c r="W62" s="19">
        <f t="shared" si="2"/>
        <v>193.71999999999997</v>
      </c>
      <c r="X62" s="19"/>
      <c r="Y62" s="19"/>
      <c r="Z62" s="19"/>
      <c r="AA62" s="19"/>
      <c r="AB62" s="19"/>
      <c r="AC62" s="19"/>
    </row>
    <row r="63" spans="1:29" s="4" customFormat="1" ht="30" customHeight="1" x14ac:dyDescent="0.3">
      <c r="A63" s="20" t="s">
        <v>246</v>
      </c>
      <c r="B63" s="20" t="s">
        <v>247</v>
      </c>
      <c r="C63" s="21" t="s">
        <v>69</v>
      </c>
      <c r="D63" s="21" t="s">
        <v>70</v>
      </c>
      <c r="E63" s="22" t="s">
        <v>69</v>
      </c>
      <c r="F63" s="23" t="s">
        <v>71</v>
      </c>
      <c r="G63" s="23">
        <v>21101</v>
      </c>
      <c r="H63" s="24" t="s">
        <v>211</v>
      </c>
      <c r="I63" s="44" t="s">
        <v>303</v>
      </c>
      <c r="J63" s="25" t="s">
        <v>128</v>
      </c>
      <c r="K63" s="21" t="s">
        <v>32</v>
      </c>
      <c r="L63" s="21" t="s">
        <v>32</v>
      </c>
      <c r="M63" s="21" t="s">
        <v>54</v>
      </c>
      <c r="N63" s="25">
        <v>65</v>
      </c>
      <c r="O63" s="26">
        <f>2.45*1.16</f>
        <v>2.8420000000000001</v>
      </c>
      <c r="P63" s="13" t="s">
        <v>60</v>
      </c>
      <c r="Q63" s="19">
        <f t="shared" si="1"/>
        <v>184.73000000000002</v>
      </c>
      <c r="R63" s="19"/>
      <c r="S63" s="19"/>
      <c r="T63" s="19"/>
      <c r="U63" s="19"/>
      <c r="V63" s="19"/>
      <c r="W63" s="19">
        <f t="shared" si="2"/>
        <v>184.73000000000002</v>
      </c>
      <c r="X63" s="19"/>
      <c r="Y63" s="19"/>
      <c r="Z63" s="19"/>
      <c r="AA63" s="19"/>
      <c r="AB63" s="19"/>
      <c r="AC63" s="19"/>
    </row>
    <row r="64" spans="1:29" s="4" customFormat="1" ht="30" customHeight="1" x14ac:dyDescent="0.3">
      <c r="A64" s="20" t="s">
        <v>246</v>
      </c>
      <c r="B64" s="20" t="s">
        <v>247</v>
      </c>
      <c r="C64" s="21" t="s">
        <v>69</v>
      </c>
      <c r="D64" s="21" t="s">
        <v>70</v>
      </c>
      <c r="E64" s="22" t="s">
        <v>69</v>
      </c>
      <c r="F64" s="23" t="s">
        <v>71</v>
      </c>
      <c r="G64" s="23">
        <v>21101</v>
      </c>
      <c r="H64" s="24" t="s">
        <v>211</v>
      </c>
      <c r="I64" s="44" t="s">
        <v>304</v>
      </c>
      <c r="J64" s="25" t="s">
        <v>129</v>
      </c>
      <c r="K64" s="21" t="s">
        <v>32</v>
      </c>
      <c r="L64" s="21" t="s">
        <v>32</v>
      </c>
      <c r="M64" s="21" t="s">
        <v>54</v>
      </c>
      <c r="N64" s="25">
        <v>100</v>
      </c>
      <c r="O64" s="26">
        <f>14.84*1.16</f>
        <v>17.214399999999998</v>
      </c>
      <c r="P64" s="13" t="s">
        <v>60</v>
      </c>
      <c r="Q64" s="19">
        <f t="shared" si="1"/>
        <v>1721.4399999999998</v>
      </c>
      <c r="R64" s="19"/>
      <c r="S64" s="19"/>
      <c r="T64" s="19"/>
      <c r="U64" s="19"/>
      <c r="V64" s="19"/>
      <c r="W64" s="19">
        <f t="shared" si="2"/>
        <v>1721.4399999999998</v>
      </c>
      <c r="X64" s="19"/>
      <c r="Y64" s="19"/>
      <c r="Z64" s="19"/>
      <c r="AA64" s="19"/>
      <c r="AB64" s="19"/>
      <c r="AC64" s="19"/>
    </row>
    <row r="65" spans="1:29" s="4" customFormat="1" ht="30" customHeight="1" x14ac:dyDescent="0.3">
      <c r="A65" s="20" t="s">
        <v>246</v>
      </c>
      <c r="B65" s="20" t="s">
        <v>247</v>
      </c>
      <c r="C65" s="21" t="s">
        <v>69</v>
      </c>
      <c r="D65" s="21" t="s">
        <v>70</v>
      </c>
      <c r="E65" s="22" t="s">
        <v>69</v>
      </c>
      <c r="F65" s="23" t="s">
        <v>71</v>
      </c>
      <c r="G65" s="23">
        <v>21101</v>
      </c>
      <c r="H65" s="24" t="s">
        <v>211</v>
      </c>
      <c r="I65" s="44" t="s">
        <v>305</v>
      </c>
      <c r="J65" s="25" t="s">
        <v>52</v>
      </c>
      <c r="K65" s="21" t="s">
        <v>32</v>
      </c>
      <c r="L65" s="21" t="s">
        <v>32</v>
      </c>
      <c r="M65" s="21" t="s">
        <v>54</v>
      </c>
      <c r="N65" s="25">
        <v>120</v>
      </c>
      <c r="O65" s="26">
        <f>4.92*1.16</f>
        <v>5.7071999999999994</v>
      </c>
      <c r="P65" s="13" t="s">
        <v>60</v>
      </c>
      <c r="Q65" s="19">
        <f t="shared" si="1"/>
        <v>684.86399999999992</v>
      </c>
      <c r="R65" s="19"/>
      <c r="S65" s="19"/>
      <c r="T65" s="19"/>
      <c r="U65" s="19"/>
      <c r="V65" s="19"/>
      <c r="W65" s="19">
        <f t="shared" si="2"/>
        <v>684.86399999999992</v>
      </c>
      <c r="X65" s="19"/>
      <c r="Y65" s="19"/>
      <c r="Z65" s="19"/>
      <c r="AA65" s="19"/>
      <c r="AB65" s="19"/>
      <c r="AC65" s="19"/>
    </row>
    <row r="66" spans="1:29" s="4" customFormat="1" ht="30" customHeight="1" x14ac:dyDescent="0.3">
      <c r="A66" s="20" t="s">
        <v>246</v>
      </c>
      <c r="B66" s="20" t="s">
        <v>247</v>
      </c>
      <c r="C66" s="21" t="s">
        <v>69</v>
      </c>
      <c r="D66" s="21" t="s">
        <v>70</v>
      </c>
      <c r="E66" s="22" t="s">
        <v>69</v>
      </c>
      <c r="F66" s="23" t="s">
        <v>71</v>
      </c>
      <c r="G66" s="23">
        <v>21101</v>
      </c>
      <c r="H66" s="24" t="s">
        <v>211</v>
      </c>
      <c r="I66" s="44" t="s">
        <v>306</v>
      </c>
      <c r="J66" s="25" t="s">
        <v>130</v>
      </c>
      <c r="K66" s="21" t="s">
        <v>32</v>
      </c>
      <c r="L66" s="21" t="s">
        <v>32</v>
      </c>
      <c r="M66" s="21" t="s">
        <v>54</v>
      </c>
      <c r="N66" s="25">
        <v>55</v>
      </c>
      <c r="O66" s="26">
        <f>3.13*1.16</f>
        <v>3.6307999999999998</v>
      </c>
      <c r="P66" s="13" t="s">
        <v>60</v>
      </c>
      <c r="Q66" s="19">
        <f t="shared" si="1"/>
        <v>199.69399999999999</v>
      </c>
      <c r="R66" s="19"/>
      <c r="S66" s="19"/>
      <c r="T66" s="19"/>
      <c r="U66" s="19"/>
      <c r="V66" s="19"/>
      <c r="W66" s="19">
        <f t="shared" si="2"/>
        <v>199.69399999999999</v>
      </c>
      <c r="X66" s="19"/>
      <c r="Y66" s="19"/>
      <c r="Z66" s="19"/>
      <c r="AA66" s="19"/>
      <c r="AB66" s="19"/>
      <c r="AC66" s="19"/>
    </row>
    <row r="67" spans="1:29" s="4" customFormat="1" ht="30" customHeight="1" x14ac:dyDescent="0.3">
      <c r="A67" s="20" t="s">
        <v>246</v>
      </c>
      <c r="B67" s="20" t="s">
        <v>247</v>
      </c>
      <c r="C67" s="21" t="s">
        <v>69</v>
      </c>
      <c r="D67" s="21" t="s">
        <v>70</v>
      </c>
      <c r="E67" s="22" t="s">
        <v>69</v>
      </c>
      <c r="F67" s="23" t="s">
        <v>71</v>
      </c>
      <c r="G67" s="23">
        <v>21101</v>
      </c>
      <c r="H67" s="24" t="s">
        <v>211</v>
      </c>
      <c r="I67" s="44" t="s">
        <v>307</v>
      </c>
      <c r="J67" s="25" t="s">
        <v>131</v>
      </c>
      <c r="K67" s="21" t="s">
        <v>32</v>
      </c>
      <c r="L67" s="21" t="s">
        <v>32</v>
      </c>
      <c r="M67" s="21" t="s">
        <v>54</v>
      </c>
      <c r="N67" s="25">
        <v>40</v>
      </c>
      <c r="O67" s="26">
        <f>4.27*1.16</f>
        <v>4.9531999999999989</v>
      </c>
      <c r="P67" s="13" t="s">
        <v>60</v>
      </c>
      <c r="Q67" s="19">
        <f t="shared" si="1"/>
        <v>198.12799999999996</v>
      </c>
      <c r="R67" s="19"/>
      <c r="S67" s="19"/>
      <c r="T67" s="19"/>
      <c r="U67" s="19"/>
      <c r="V67" s="19"/>
      <c r="W67" s="19">
        <f t="shared" si="2"/>
        <v>198.12799999999996</v>
      </c>
      <c r="X67" s="19"/>
      <c r="Y67" s="19"/>
      <c r="Z67" s="19"/>
      <c r="AA67" s="19"/>
      <c r="AB67" s="19"/>
      <c r="AC67" s="19"/>
    </row>
    <row r="68" spans="1:29" s="4" customFormat="1" ht="30" customHeight="1" x14ac:dyDescent="0.3">
      <c r="A68" s="20" t="s">
        <v>246</v>
      </c>
      <c r="B68" s="20" t="s">
        <v>247</v>
      </c>
      <c r="C68" s="21" t="s">
        <v>69</v>
      </c>
      <c r="D68" s="21" t="s">
        <v>70</v>
      </c>
      <c r="E68" s="22" t="s">
        <v>69</v>
      </c>
      <c r="F68" s="23" t="s">
        <v>71</v>
      </c>
      <c r="G68" s="23">
        <v>21101</v>
      </c>
      <c r="H68" s="24" t="s">
        <v>211</v>
      </c>
      <c r="I68" s="44" t="s">
        <v>308</v>
      </c>
      <c r="J68" s="25" t="s">
        <v>132</v>
      </c>
      <c r="K68" s="21" t="s">
        <v>32</v>
      </c>
      <c r="L68" s="21" t="s">
        <v>32</v>
      </c>
      <c r="M68" s="21" t="s">
        <v>54</v>
      </c>
      <c r="N68" s="25">
        <v>500</v>
      </c>
      <c r="O68" s="26">
        <f>1.26*1.16</f>
        <v>1.4616</v>
      </c>
      <c r="P68" s="13" t="s">
        <v>60</v>
      </c>
      <c r="Q68" s="19">
        <f t="shared" si="1"/>
        <v>730.8</v>
      </c>
      <c r="R68" s="19"/>
      <c r="S68" s="19"/>
      <c r="T68" s="19"/>
      <c r="U68" s="19"/>
      <c r="V68" s="19"/>
      <c r="W68" s="19"/>
      <c r="X68" s="19"/>
      <c r="Y68" s="19"/>
      <c r="Z68" s="19">
        <f t="shared" ref="Z68:Z96" si="3">N68*O68</f>
        <v>730.8</v>
      </c>
      <c r="AA68" s="19"/>
      <c r="AB68" s="19"/>
      <c r="AC68" s="19"/>
    </row>
    <row r="69" spans="1:29" s="4" customFormat="1" ht="30" customHeight="1" x14ac:dyDescent="0.3">
      <c r="A69" s="20" t="s">
        <v>246</v>
      </c>
      <c r="B69" s="20" t="s">
        <v>247</v>
      </c>
      <c r="C69" s="21" t="s">
        <v>69</v>
      </c>
      <c r="D69" s="21" t="s">
        <v>70</v>
      </c>
      <c r="E69" s="22" t="s">
        <v>69</v>
      </c>
      <c r="F69" s="23" t="s">
        <v>71</v>
      </c>
      <c r="G69" s="23">
        <v>21101</v>
      </c>
      <c r="H69" s="24" t="s">
        <v>211</v>
      </c>
      <c r="I69" s="44" t="s">
        <v>309</v>
      </c>
      <c r="J69" s="25" t="s">
        <v>46</v>
      </c>
      <c r="K69" s="21" t="s">
        <v>32</v>
      </c>
      <c r="L69" s="21" t="s">
        <v>32</v>
      </c>
      <c r="M69" s="21" t="s">
        <v>54</v>
      </c>
      <c r="N69" s="25">
        <v>20</v>
      </c>
      <c r="O69" s="26">
        <f>27.64*1.16</f>
        <v>32.062399999999997</v>
      </c>
      <c r="P69" s="13" t="s">
        <v>60</v>
      </c>
      <c r="Q69" s="19">
        <f t="shared" si="1"/>
        <v>641.24799999999993</v>
      </c>
      <c r="R69" s="19"/>
      <c r="S69" s="19"/>
      <c r="T69" s="19"/>
      <c r="U69" s="19"/>
      <c r="V69" s="19"/>
      <c r="W69" s="19"/>
      <c r="X69" s="19"/>
      <c r="Y69" s="19"/>
      <c r="Z69" s="19">
        <f t="shared" si="3"/>
        <v>641.24799999999993</v>
      </c>
      <c r="AA69" s="19"/>
      <c r="AB69" s="19"/>
      <c r="AC69" s="19"/>
    </row>
    <row r="70" spans="1:29" s="4" customFormat="1" ht="30" customHeight="1" x14ac:dyDescent="0.3">
      <c r="A70" s="20" t="s">
        <v>246</v>
      </c>
      <c r="B70" s="20" t="s">
        <v>247</v>
      </c>
      <c r="C70" s="21" t="s">
        <v>69</v>
      </c>
      <c r="D70" s="21" t="s">
        <v>70</v>
      </c>
      <c r="E70" s="22" t="s">
        <v>69</v>
      </c>
      <c r="F70" s="23" t="s">
        <v>71</v>
      </c>
      <c r="G70" s="23">
        <v>21101</v>
      </c>
      <c r="H70" s="24" t="s">
        <v>211</v>
      </c>
      <c r="I70" s="44" t="s">
        <v>310</v>
      </c>
      <c r="J70" s="25" t="s">
        <v>133</v>
      </c>
      <c r="K70" s="21" t="s">
        <v>32</v>
      </c>
      <c r="L70" s="21" t="s">
        <v>32</v>
      </c>
      <c r="M70" s="21" t="s">
        <v>56</v>
      </c>
      <c r="N70" s="25">
        <v>5</v>
      </c>
      <c r="O70" s="26">
        <f>58.67*1.16</f>
        <v>68.057199999999995</v>
      </c>
      <c r="P70" s="13" t="s">
        <v>60</v>
      </c>
      <c r="Q70" s="19">
        <f t="shared" si="1"/>
        <v>340.28599999999994</v>
      </c>
      <c r="R70" s="19"/>
      <c r="S70" s="19"/>
      <c r="T70" s="19"/>
      <c r="U70" s="19"/>
      <c r="V70" s="19"/>
      <c r="W70" s="19"/>
      <c r="X70" s="19"/>
      <c r="Y70" s="19"/>
      <c r="Z70" s="19">
        <f t="shared" si="3"/>
        <v>340.28599999999994</v>
      </c>
      <c r="AA70" s="19"/>
      <c r="AB70" s="19"/>
      <c r="AC70" s="19"/>
    </row>
    <row r="71" spans="1:29" s="4" customFormat="1" ht="30" customHeight="1" x14ac:dyDescent="0.3">
      <c r="A71" s="20" t="s">
        <v>246</v>
      </c>
      <c r="B71" s="20" t="s">
        <v>247</v>
      </c>
      <c r="C71" s="21" t="s">
        <v>69</v>
      </c>
      <c r="D71" s="21" t="s">
        <v>70</v>
      </c>
      <c r="E71" s="22" t="s">
        <v>69</v>
      </c>
      <c r="F71" s="23" t="s">
        <v>71</v>
      </c>
      <c r="G71" s="23">
        <v>21101</v>
      </c>
      <c r="H71" s="24" t="s">
        <v>211</v>
      </c>
      <c r="I71" s="44" t="s">
        <v>314</v>
      </c>
      <c r="J71" s="25" t="s">
        <v>134</v>
      </c>
      <c r="K71" s="21" t="s">
        <v>32</v>
      </c>
      <c r="L71" s="21" t="s">
        <v>32</v>
      </c>
      <c r="M71" s="21" t="s">
        <v>56</v>
      </c>
      <c r="N71" s="25">
        <v>60</v>
      </c>
      <c r="O71" s="26">
        <f>114.96*1.16</f>
        <v>133.35359999999997</v>
      </c>
      <c r="P71" s="13" t="s">
        <v>60</v>
      </c>
      <c r="Q71" s="19">
        <f t="shared" si="1"/>
        <v>8001.2159999999985</v>
      </c>
      <c r="R71" s="19"/>
      <c r="S71" s="19"/>
      <c r="T71" s="19"/>
      <c r="U71" s="19"/>
      <c r="V71" s="19"/>
      <c r="W71" s="19"/>
      <c r="X71" s="19"/>
      <c r="Y71" s="19"/>
      <c r="Z71" s="19">
        <f t="shared" si="3"/>
        <v>8001.2159999999985</v>
      </c>
      <c r="AA71" s="19"/>
      <c r="AB71" s="19"/>
      <c r="AC71" s="19"/>
    </row>
    <row r="72" spans="1:29" s="4" customFormat="1" ht="30" customHeight="1" x14ac:dyDescent="0.3">
      <c r="A72" s="20" t="s">
        <v>246</v>
      </c>
      <c r="B72" s="20" t="s">
        <v>247</v>
      </c>
      <c r="C72" s="21" t="s">
        <v>69</v>
      </c>
      <c r="D72" s="21" t="s">
        <v>70</v>
      </c>
      <c r="E72" s="22" t="s">
        <v>69</v>
      </c>
      <c r="F72" s="23" t="s">
        <v>71</v>
      </c>
      <c r="G72" s="23">
        <v>21101</v>
      </c>
      <c r="H72" s="24" t="s">
        <v>211</v>
      </c>
      <c r="I72" s="44" t="s">
        <v>311</v>
      </c>
      <c r="J72" s="25" t="s">
        <v>45</v>
      </c>
      <c r="K72" s="21" t="s">
        <v>32</v>
      </c>
      <c r="L72" s="21" t="s">
        <v>32</v>
      </c>
      <c r="M72" s="21" t="s">
        <v>56</v>
      </c>
      <c r="N72" s="25">
        <v>10</v>
      </c>
      <c r="O72" s="26">
        <f>13.68*1.16</f>
        <v>15.868799999999998</v>
      </c>
      <c r="P72" s="13" t="s">
        <v>60</v>
      </c>
      <c r="Q72" s="19">
        <f t="shared" si="1"/>
        <v>158.68799999999999</v>
      </c>
      <c r="R72" s="19"/>
      <c r="S72" s="19"/>
      <c r="T72" s="19"/>
      <c r="U72" s="19"/>
      <c r="V72" s="19"/>
      <c r="W72" s="19"/>
      <c r="X72" s="19"/>
      <c r="Y72" s="19"/>
      <c r="Z72" s="19">
        <f t="shared" si="3"/>
        <v>158.68799999999999</v>
      </c>
      <c r="AA72" s="19"/>
      <c r="AB72" s="19"/>
      <c r="AC72" s="19"/>
    </row>
    <row r="73" spans="1:29" s="4" customFormat="1" ht="30" customHeight="1" x14ac:dyDescent="0.3">
      <c r="A73" s="20" t="s">
        <v>246</v>
      </c>
      <c r="B73" s="20" t="s">
        <v>247</v>
      </c>
      <c r="C73" s="21" t="s">
        <v>69</v>
      </c>
      <c r="D73" s="21" t="s">
        <v>70</v>
      </c>
      <c r="E73" s="22" t="s">
        <v>69</v>
      </c>
      <c r="F73" s="23" t="s">
        <v>71</v>
      </c>
      <c r="G73" s="23">
        <v>21101</v>
      </c>
      <c r="H73" s="24" t="s">
        <v>211</v>
      </c>
      <c r="I73" s="44" t="s">
        <v>312</v>
      </c>
      <c r="J73" s="25" t="s">
        <v>83</v>
      </c>
      <c r="K73" s="21" t="s">
        <v>32</v>
      </c>
      <c r="L73" s="21" t="s">
        <v>32</v>
      </c>
      <c r="M73" s="21" t="s">
        <v>56</v>
      </c>
      <c r="N73" s="25">
        <v>20</v>
      </c>
      <c r="O73" s="26">
        <f>69.67*1.16</f>
        <v>80.8172</v>
      </c>
      <c r="P73" s="13" t="s">
        <v>60</v>
      </c>
      <c r="Q73" s="19">
        <f t="shared" si="1"/>
        <v>1616.3440000000001</v>
      </c>
      <c r="R73" s="19"/>
      <c r="S73" s="19"/>
      <c r="T73" s="19"/>
      <c r="U73" s="19"/>
      <c r="V73" s="19"/>
      <c r="W73" s="19"/>
      <c r="X73" s="19"/>
      <c r="Y73" s="19"/>
      <c r="Z73" s="19">
        <f t="shared" si="3"/>
        <v>1616.3440000000001</v>
      </c>
      <c r="AA73" s="19"/>
      <c r="AB73" s="19"/>
      <c r="AC73" s="19"/>
    </row>
    <row r="74" spans="1:29" s="4" customFormat="1" ht="30" customHeight="1" x14ac:dyDescent="0.3">
      <c r="A74" s="20" t="s">
        <v>246</v>
      </c>
      <c r="B74" s="20" t="s">
        <v>247</v>
      </c>
      <c r="C74" s="21" t="s">
        <v>69</v>
      </c>
      <c r="D74" s="21" t="s">
        <v>70</v>
      </c>
      <c r="E74" s="22" t="s">
        <v>69</v>
      </c>
      <c r="F74" s="23" t="s">
        <v>71</v>
      </c>
      <c r="G74" s="23">
        <v>21101</v>
      </c>
      <c r="H74" s="24" t="s">
        <v>211</v>
      </c>
      <c r="I74" s="44" t="s">
        <v>260</v>
      </c>
      <c r="J74" s="25" t="s">
        <v>101</v>
      </c>
      <c r="K74" s="21" t="s">
        <v>32</v>
      </c>
      <c r="L74" s="21" t="s">
        <v>32</v>
      </c>
      <c r="M74" s="21" t="s">
        <v>56</v>
      </c>
      <c r="N74" s="25">
        <v>5</v>
      </c>
      <c r="O74" s="26">
        <f>18.51*1.16</f>
        <v>21.471599999999999</v>
      </c>
      <c r="P74" s="13" t="s">
        <v>60</v>
      </c>
      <c r="Q74" s="19">
        <f t="shared" si="1"/>
        <v>107.35799999999999</v>
      </c>
      <c r="R74" s="19"/>
      <c r="S74" s="19"/>
      <c r="T74" s="19"/>
      <c r="U74" s="19"/>
      <c r="V74" s="19"/>
      <c r="W74" s="19"/>
      <c r="X74" s="19"/>
      <c r="Y74" s="19"/>
      <c r="Z74" s="19">
        <f t="shared" si="3"/>
        <v>107.35799999999999</v>
      </c>
      <c r="AA74" s="19"/>
      <c r="AB74" s="19"/>
      <c r="AC74" s="19"/>
    </row>
    <row r="75" spans="1:29" s="4" customFormat="1" ht="30" customHeight="1" x14ac:dyDescent="0.3">
      <c r="A75" s="20" t="s">
        <v>246</v>
      </c>
      <c r="B75" s="20" t="s">
        <v>247</v>
      </c>
      <c r="C75" s="21" t="s">
        <v>69</v>
      </c>
      <c r="D75" s="21" t="s">
        <v>70</v>
      </c>
      <c r="E75" s="22" t="s">
        <v>69</v>
      </c>
      <c r="F75" s="23" t="s">
        <v>71</v>
      </c>
      <c r="G75" s="23">
        <v>21101</v>
      </c>
      <c r="H75" s="24" t="s">
        <v>211</v>
      </c>
      <c r="I75" s="44" t="s">
        <v>260</v>
      </c>
      <c r="J75" s="25" t="s">
        <v>135</v>
      </c>
      <c r="K75" s="21" t="s">
        <v>32</v>
      </c>
      <c r="L75" s="21" t="s">
        <v>32</v>
      </c>
      <c r="M75" s="21" t="s">
        <v>55</v>
      </c>
      <c r="N75" s="25">
        <v>10</v>
      </c>
      <c r="O75" s="26">
        <f>25.03*1.16</f>
        <v>29.034800000000001</v>
      </c>
      <c r="P75" s="13" t="s">
        <v>60</v>
      </c>
      <c r="Q75" s="19">
        <f t="shared" si="1"/>
        <v>290.34800000000001</v>
      </c>
      <c r="R75" s="19"/>
      <c r="S75" s="19"/>
      <c r="T75" s="19"/>
      <c r="U75" s="19"/>
      <c r="V75" s="19"/>
      <c r="W75" s="19"/>
      <c r="X75" s="19"/>
      <c r="Y75" s="19"/>
      <c r="Z75" s="19">
        <f t="shared" si="3"/>
        <v>290.34800000000001</v>
      </c>
      <c r="AA75" s="19"/>
      <c r="AB75" s="19"/>
      <c r="AC75" s="19"/>
    </row>
    <row r="76" spans="1:29" s="4" customFormat="1" ht="30" customHeight="1" x14ac:dyDescent="0.3">
      <c r="A76" s="20" t="s">
        <v>246</v>
      </c>
      <c r="B76" s="20" t="s">
        <v>247</v>
      </c>
      <c r="C76" s="21" t="s">
        <v>69</v>
      </c>
      <c r="D76" s="21" t="s">
        <v>70</v>
      </c>
      <c r="E76" s="22" t="s">
        <v>69</v>
      </c>
      <c r="F76" s="23" t="s">
        <v>71</v>
      </c>
      <c r="G76" s="23">
        <v>21101</v>
      </c>
      <c r="H76" s="24" t="s">
        <v>211</v>
      </c>
      <c r="I76" s="44" t="s">
        <v>315</v>
      </c>
      <c r="J76" s="25" t="s">
        <v>136</v>
      </c>
      <c r="K76" s="21" t="s">
        <v>32</v>
      </c>
      <c r="L76" s="21" t="s">
        <v>32</v>
      </c>
      <c r="M76" s="21" t="s">
        <v>55</v>
      </c>
      <c r="N76" s="25">
        <v>10</v>
      </c>
      <c r="O76" s="26">
        <f>64.43*1.16</f>
        <v>74.738799999999998</v>
      </c>
      <c r="P76" s="13" t="s">
        <v>60</v>
      </c>
      <c r="Q76" s="19">
        <f t="shared" ref="Q76:Q139" si="4">SUM(R76:AC76)</f>
        <v>747.38799999999992</v>
      </c>
      <c r="R76" s="19"/>
      <c r="S76" s="19"/>
      <c r="T76" s="19"/>
      <c r="U76" s="19"/>
      <c r="V76" s="19"/>
      <c r="W76" s="19"/>
      <c r="X76" s="19"/>
      <c r="Y76" s="19"/>
      <c r="Z76" s="19">
        <f t="shared" si="3"/>
        <v>747.38799999999992</v>
      </c>
      <c r="AA76" s="19"/>
      <c r="AB76" s="19"/>
      <c r="AC76" s="19"/>
    </row>
    <row r="77" spans="1:29" s="4" customFormat="1" ht="30" customHeight="1" x14ac:dyDescent="0.3">
      <c r="A77" s="20" t="s">
        <v>246</v>
      </c>
      <c r="B77" s="20" t="s">
        <v>247</v>
      </c>
      <c r="C77" s="21" t="s">
        <v>69</v>
      </c>
      <c r="D77" s="21" t="s">
        <v>70</v>
      </c>
      <c r="E77" s="22" t="s">
        <v>69</v>
      </c>
      <c r="F77" s="23" t="s">
        <v>71</v>
      </c>
      <c r="G77" s="23">
        <v>21101</v>
      </c>
      <c r="H77" s="24" t="s">
        <v>211</v>
      </c>
      <c r="I77" s="44" t="s">
        <v>316</v>
      </c>
      <c r="J77" s="25" t="s">
        <v>86</v>
      </c>
      <c r="K77" s="21" t="s">
        <v>32</v>
      </c>
      <c r="L77" s="21" t="s">
        <v>32</v>
      </c>
      <c r="M77" s="21" t="s">
        <v>55</v>
      </c>
      <c r="N77" s="25">
        <v>10</v>
      </c>
      <c r="O77" s="26">
        <f>22.6*1.16</f>
        <v>26.216000000000001</v>
      </c>
      <c r="P77" s="13" t="s">
        <v>60</v>
      </c>
      <c r="Q77" s="19">
        <f t="shared" si="4"/>
        <v>262.16000000000003</v>
      </c>
      <c r="R77" s="19"/>
      <c r="S77" s="19"/>
      <c r="T77" s="19"/>
      <c r="U77" s="19"/>
      <c r="V77" s="19"/>
      <c r="W77" s="19"/>
      <c r="X77" s="19"/>
      <c r="Y77" s="19"/>
      <c r="Z77" s="19">
        <f t="shared" si="3"/>
        <v>262.16000000000003</v>
      </c>
      <c r="AA77" s="19"/>
      <c r="AB77" s="19"/>
      <c r="AC77" s="19"/>
    </row>
    <row r="78" spans="1:29" s="4" customFormat="1" ht="30" customHeight="1" x14ac:dyDescent="0.3">
      <c r="A78" s="20" t="s">
        <v>246</v>
      </c>
      <c r="B78" s="20" t="s">
        <v>247</v>
      </c>
      <c r="C78" s="21" t="s">
        <v>69</v>
      </c>
      <c r="D78" s="21" t="s">
        <v>70</v>
      </c>
      <c r="E78" s="22" t="s">
        <v>69</v>
      </c>
      <c r="F78" s="23" t="s">
        <v>71</v>
      </c>
      <c r="G78" s="23">
        <v>21101</v>
      </c>
      <c r="H78" s="24" t="s">
        <v>211</v>
      </c>
      <c r="I78" s="44" t="s">
        <v>317</v>
      </c>
      <c r="J78" s="25" t="s">
        <v>137</v>
      </c>
      <c r="K78" s="21" t="s">
        <v>32</v>
      </c>
      <c r="L78" s="21" t="s">
        <v>32</v>
      </c>
      <c r="M78" s="21" t="s">
        <v>56</v>
      </c>
      <c r="N78" s="25">
        <v>10</v>
      </c>
      <c r="O78" s="26">
        <f>29.98*1.16</f>
        <v>34.776800000000001</v>
      </c>
      <c r="P78" s="13" t="s">
        <v>60</v>
      </c>
      <c r="Q78" s="19">
        <f t="shared" si="4"/>
        <v>347.76800000000003</v>
      </c>
      <c r="R78" s="19"/>
      <c r="S78" s="19"/>
      <c r="T78" s="19"/>
      <c r="U78" s="19"/>
      <c r="V78" s="19"/>
      <c r="W78" s="19"/>
      <c r="X78" s="19"/>
      <c r="Y78" s="19"/>
      <c r="Z78" s="19">
        <f t="shared" si="3"/>
        <v>347.76800000000003</v>
      </c>
      <c r="AA78" s="19"/>
      <c r="AB78" s="19"/>
      <c r="AC78" s="19"/>
    </row>
    <row r="79" spans="1:29" s="4" customFormat="1" ht="30" customHeight="1" x14ac:dyDescent="0.3">
      <c r="A79" s="20" t="s">
        <v>246</v>
      </c>
      <c r="B79" s="20" t="s">
        <v>247</v>
      </c>
      <c r="C79" s="21" t="s">
        <v>69</v>
      </c>
      <c r="D79" s="21" t="s">
        <v>70</v>
      </c>
      <c r="E79" s="22" t="s">
        <v>69</v>
      </c>
      <c r="F79" s="23" t="s">
        <v>71</v>
      </c>
      <c r="G79" s="23">
        <v>21101</v>
      </c>
      <c r="H79" s="24" t="s">
        <v>211</v>
      </c>
      <c r="I79" s="44" t="s">
        <v>318</v>
      </c>
      <c r="J79" s="25" t="s">
        <v>138</v>
      </c>
      <c r="K79" s="21" t="s">
        <v>32</v>
      </c>
      <c r="L79" s="21" t="s">
        <v>32</v>
      </c>
      <c r="M79" s="21" t="s">
        <v>56</v>
      </c>
      <c r="N79" s="25">
        <v>100</v>
      </c>
      <c r="O79" s="26">
        <f>2.93*1.16</f>
        <v>3.3988</v>
      </c>
      <c r="P79" s="13" t="s">
        <v>60</v>
      </c>
      <c r="Q79" s="19">
        <f t="shared" si="4"/>
        <v>339.88</v>
      </c>
      <c r="R79" s="19"/>
      <c r="S79" s="19"/>
      <c r="T79" s="19"/>
      <c r="U79" s="19"/>
      <c r="V79" s="19"/>
      <c r="W79" s="19"/>
      <c r="X79" s="19"/>
      <c r="Y79" s="19"/>
      <c r="Z79" s="19">
        <f t="shared" si="3"/>
        <v>339.88</v>
      </c>
      <c r="AA79" s="19"/>
      <c r="AB79" s="19"/>
      <c r="AC79" s="19"/>
    </row>
    <row r="80" spans="1:29" s="4" customFormat="1" ht="30" customHeight="1" x14ac:dyDescent="0.3">
      <c r="A80" s="20" t="s">
        <v>246</v>
      </c>
      <c r="B80" s="20" t="s">
        <v>247</v>
      </c>
      <c r="C80" s="21" t="s">
        <v>69</v>
      </c>
      <c r="D80" s="21" t="s">
        <v>70</v>
      </c>
      <c r="E80" s="22" t="s">
        <v>69</v>
      </c>
      <c r="F80" s="23" t="s">
        <v>71</v>
      </c>
      <c r="G80" s="23">
        <v>21101</v>
      </c>
      <c r="H80" s="24" t="s">
        <v>211</v>
      </c>
      <c r="I80" s="44" t="s">
        <v>319</v>
      </c>
      <c r="J80" s="25" t="s">
        <v>81</v>
      </c>
      <c r="K80" s="21" t="s">
        <v>32</v>
      </c>
      <c r="L80" s="21" t="s">
        <v>32</v>
      </c>
      <c r="M80" s="21" t="s">
        <v>56</v>
      </c>
      <c r="N80" s="25">
        <v>50</v>
      </c>
      <c r="O80" s="26">
        <f>29.03*1.16</f>
        <v>33.674799999999998</v>
      </c>
      <c r="P80" s="13" t="s">
        <v>60</v>
      </c>
      <c r="Q80" s="19">
        <f t="shared" si="4"/>
        <v>1683.7399999999998</v>
      </c>
      <c r="R80" s="19"/>
      <c r="S80" s="19"/>
      <c r="T80" s="19"/>
      <c r="U80" s="19"/>
      <c r="V80" s="19"/>
      <c r="W80" s="19"/>
      <c r="X80" s="19"/>
      <c r="Y80" s="19"/>
      <c r="Z80" s="19">
        <f t="shared" si="3"/>
        <v>1683.7399999999998</v>
      </c>
      <c r="AA80" s="19"/>
      <c r="AB80" s="19"/>
      <c r="AC80" s="19"/>
    </row>
    <row r="81" spans="1:29" s="4" customFormat="1" ht="30" customHeight="1" x14ac:dyDescent="0.3">
      <c r="A81" s="20" t="s">
        <v>246</v>
      </c>
      <c r="B81" s="20" t="s">
        <v>247</v>
      </c>
      <c r="C81" s="21" t="s">
        <v>69</v>
      </c>
      <c r="D81" s="21" t="s">
        <v>70</v>
      </c>
      <c r="E81" s="22" t="s">
        <v>69</v>
      </c>
      <c r="F81" s="23" t="s">
        <v>71</v>
      </c>
      <c r="G81" s="23">
        <v>21101</v>
      </c>
      <c r="H81" s="24" t="s">
        <v>211</v>
      </c>
      <c r="I81" s="44" t="s">
        <v>320</v>
      </c>
      <c r="J81" s="25" t="s">
        <v>139</v>
      </c>
      <c r="K81" s="21" t="s">
        <v>32</v>
      </c>
      <c r="L81" s="21" t="s">
        <v>32</v>
      </c>
      <c r="M81" s="21" t="s">
        <v>54</v>
      </c>
      <c r="N81" s="25">
        <v>20</v>
      </c>
      <c r="O81" s="26">
        <f>79.1*1.16</f>
        <v>91.755999999999986</v>
      </c>
      <c r="P81" s="13" t="s">
        <v>60</v>
      </c>
      <c r="Q81" s="19">
        <f t="shared" si="4"/>
        <v>1835.1199999999997</v>
      </c>
      <c r="R81" s="19"/>
      <c r="S81" s="19"/>
      <c r="T81" s="19"/>
      <c r="U81" s="19"/>
      <c r="V81" s="19"/>
      <c r="W81" s="19"/>
      <c r="X81" s="19"/>
      <c r="Y81" s="19"/>
      <c r="Z81" s="19">
        <f t="shared" si="3"/>
        <v>1835.1199999999997</v>
      </c>
      <c r="AA81" s="19"/>
      <c r="AB81" s="19"/>
      <c r="AC81" s="19"/>
    </row>
    <row r="82" spans="1:29" s="4" customFormat="1" ht="30" customHeight="1" x14ac:dyDescent="0.3">
      <c r="A82" s="20" t="s">
        <v>246</v>
      </c>
      <c r="B82" s="20" t="s">
        <v>247</v>
      </c>
      <c r="C82" s="21" t="s">
        <v>69</v>
      </c>
      <c r="D82" s="21" t="s">
        <v>70</v>
      </c>
      <c r="E82" s="22" t="s">
        <v>69</v>
      </c>
      <c r="F82" s="23" t="s">
        <v>71</v>
      </c>
      <c r="G82" s="23">
        <v>21101</v>
      </c>
      <c r="H82" s="24" t="s">
        <v>211</v>
      </c>
      <c r="I82" s="44" t="s">
        <v>321</v>
      </c>
      <c r="J82" s="25" t="s">
        <v>140</v>
      </c>
      <c r="K82" s="21" t="s">
        <v>32</v>
      </c>
      <c r="L82" s="21" t="s">
        <v>32</v>
      </c>
      <c r="M82" s="21" t="s">
        <v>59</v>
      </c>
      <c r="N82" s="25">
        <v>1</v>
      </c>
      <c r="O82" s="26">
        <f>7.04*1.16</f>
        <v>8.1663999999999994</v>
      </c>
      <c r="P82" s="13" t="s">
        <v>60</v>
      </c>
      <c r="Q82" s="19">
        <f t="shared" si="4"/>
        <v>8.1663999999999994</v>
      </c>
      <c r="R82" s="19"/>
      <c r="S82" s="19"/>
      <c r="T82" s="19"/>
      <c r="U82" s="19"/>
      <c r="V82" s="19"/>
      <c r="W82" s="19"/>
      <c r="X82" s="19"/>
      <c r="Y82" s="19"/>
      <c r="Z82" s="19">
        <f t="shared" si="3"/>
        <v>8.1663999999999994</v>
      </c>
      <c r="AA82" s="19"/>
      <c r="AB82" s="19"/>
      <c r="AC82" s="19"/>
    </row>
    <row r="83" spans="1:29" s="4" customFormat="1" ht="30" customHeight="1" x14ac:dyDescent="0.3">
      <c r="A83" s="20" t="s">
        <v>246</v>
      </c>
      <c r="B83" s="20" t="s">
        <v>247</v>
      </c>
      <c r="C83" s="21" t="s">
        <v>69</v>
      </c>
      <c r="D83" s="21" t="s">
        <v>70</v>
      </c>
      <c r="E83" s="22" t="s">
        <v>69</v>
      </c>
      <c r="F83" s="23" t="s">
        <v>71</v>
      </c>
      <c r="G83" s="23">
        <v>21101</v>
      </c>
      <c r="H83" s="24" t="s">
        <v>211</v>
      </c>
      <c r="I83" s="44" t="s">
        <v>322</v>
      </c>
      <c r="J83" s="25" t="s">
        <v>141</v>
      </c>
      <c r="K83" s="21" t="s">
        <v>32</v>
      </c>
      <c r="L83" s="21" t="s">
        <v>32</v>
      </c>
      <c r="M83" s="21" t="s">
        <v>54</v>
      </c>
      <c r="N83" s="25">
        <v>60</v>
      </c>
      <c r="O83" s="26">
        <f>25.47*1.16</f>
        <v>29.545199999999998</v>
      </c>
      <c r="P83" s="13" t="s">
        <v>60</v>
      </c>
      <c r="Q83" s="19">
        <f t="shared" si="4"/>
        <v>1772.7119999999998</v>
      </c>
      <c r="R83" s="19"/>
      <c r="S83" s="19"/>
      <c r="T83" s="19"/>
      <c r="U83" s="19"/>
      <c r="V83" s="19"/>
      <c r="W83" s="19"/>
      <c r="X83" s="19"/>
      <c r="Y83" s="19"/>
      <c r="Z83" s="19">
        <f t="shared" si="3"/>
        <v>1772.7119999999998</v>
      </c>
      <c r="AA83" s="19"/>
      <c r="AB83" s="19"/>
      <c r="AC83" s="19"/>
    </row>
    <row r="84" spans="1:29" s="4" customFormat="1" ht="30" customHeight="1" x14ac:dyDescent="0.3">
      <c r="A84" s="20" t="s">
        <v>246</v>
      </c>
      <c r="B84" s="20" t="s">
        <v>247</v>
      </c>
      <c r="C84" s="21" t="s">
        <v>69</v>
      </c>
      <c r="D84" s="21" t="s">
        <v>70</v>
      </c>
      <c r="E84" s="22" t="s">
        <v>69</v>
      </c>
      <c r="F84" s="23" t="s">
        <v>71</v>
      </c>
      <c r="G84" s="23">
        <v>21101</v>
      </c>
      <c r="H84" s="24" t="s">
        <v>211</v>
      </c>
      <c r="I84" s="44" t="s">
        <v>323</v>
      </c>
      <c r="J84" s="25" t="s">
        <v>85</v>
      </c>
      <c r="K84" s="21" t="s">
        <v>32</v>
      </c>
      <c r="L84" s="21" t="s">
        <v>32</v>
      </c>
      <c r="M84" s="21" t="s">
        <v>55</v>
      </c>
      <c r="N84" s="25">
        <v>70</v>
      </c>
      <c r="O84" s="26">
        <f>6.59*1.16</f>
        <v>7.6443999999999992</v>
      </c>
      <c r="P84" s="13" t="s">
        <v>60</v>
      </c>
      <c r="Q84" s="19">
        <f t="shared" si="4"/>
        <v>535.10799999999995</v>
      </c>
      <c r="R84" s="19"/>
      <c r="S84" s="19"/>
      <c r="T84" s="19"/>
      <c r="U84" s="19"/>
      <c r="V84" s="19"/>
      <c r="W84" s="19"/>
      <c r="X84" s="19"/>
      <c r="Y84" s="19"/>
      <c r="Z84" s="19">
        <f t="shared" si="3"/>
        <v>535.10799999999995</v>
      </c>
      <c r="AA84" s="19"/>
      <c r="AB84" s="19"/>
      <c r="AC84" s="19"/>
    </row>
    <row r="85" spans="1:29" s="4" customFormat="1" ht="30" customHeight="1" x14ac:dyDescent="0.3">
      <c r="A85" s="20" t="s">
        <v>246</v>
      </c>
      <c r="B85" s="20" t="s">
        <v>247</v>
      </c>
      <c r="C85" s="21" t="s">
        <v>69</v>
      </c>
      <c r="D85" s="21" t="s">
        <v>70</v>
      </c>
      <c r="E85" s="22" t="s">
        <v>69</v>
      </c>
      <c r="F85" s="23" t="s">
        <v>71</v>
      </c>
      <c r="G85" s="23">
        <v>21101</v>
      </c>
      <c r="H85" s="24" t="s">
        <v>211</v>
      </c>
      <c r="I85" s="44" t="s">
        <v>324</v>
      </c>
      <c r="J85" s="25" t="s">
        <v>49</v>
      </c>
      <c r="K85" s="21" t="s">
        <v>32</v>
      </c>
      <c r="L85" s="21" t="s">
        <v>32</v>
      </c>
      <c r="M85" s="21" t="s">
        <v>54</v>
      </c>
      <c r="N85" s="25">
        <v>70</v>
      </c>
      <c r="O85" s="26">
        <f>14.91*1.16</f>
        <v>17.2956</v>
      </c>
      <c r="P85" s="13" t="s">
        <v>60</v>
      </c>
      <c r="Q85" s="19">
        <f t="shared" si="4"/>
        <v>1210.692</v>
      </c>
      <c r="R85" s="19"/>
      <c r="S85" s="19"/>
      <c r="T85" s="19"/>
      <c r="U85" s="19"/>
      <c r="V85" s="19"/>
      <c r="W85" s="19"/>
      <c r="X85" s="19"/>
      <c r="Y85" s="19"/>
      <c r="Z85" s="19">
        <f t="shared" si="3"/>
        <v>1210.692</v>
      </c>
      <c r="AA85" s="19"/>
      <c r="AB85" s="19"/>
      <c r="AC85" s="19"/>
    </row>
    <row r="86" spans="1:29" s="4" customFormat="1" ht="30" customHeight="1" x14ac:dyDescent="0.3">
      <c r="A86" s="20" t="s">
        <v>246</v>
      </c>
      <c r="B86" s="20" t="s">
        <v>247</v>
      </c>
      <c r="C86" s="21" t="s">
        <v>69</v>
      </c>
      <c r="D86" s="21" t="s">
        <v>70</v>
      </c>
      <c r="E86" s="22" t="s">
        <v>69</v>
      </c>
      <c r="F86" s="23" t="s">
        <v>71</v>
      </c>
      <c r="G86" s="23">
        <v>21101</v>
      </c>
      <c r="H86" s="24" t="s">
        <v>211</v>
      </c>
      <c r="I86" s="44" t="s">
        <v>325</v>
      </c>
      <c r="J86" s="25" t="s">
        <v>76</v>
      </c>
      <c r="K86" s="21" t="s">
        <v>32</v>
      </c>
      <c r="L86" s="21" t="s">
        <v>32</v>
      </c>
      <c r="M86" s="21" t="s">
        <v>54</v>
      </c>
      <c r="N86" s="25">
        <v>50</v>
      </c>
      <c r="O86" s="26">
        <f>8.7*1.16</f>
        <v>10.091999999999999</v>
      </c>
      <c r="P86" s="13" t="s">
        <v>60</v>
      </c>
      <c r="Q86" s="19">
        <f t="shared" si="4"/>
        <v>504.59999999999991</v>
      </c>
      <c r="R86" s="19"/>
      <c r="S86" s="19"/>
      <c r="T86" s="19"/>
      <c r="U86" s="19"/>
      <c r="V86" s="19"/>
      <c r="W86" s="19"/>
      <c r="X86" s="19"/>
      <c r="Y86" s="19"/>
      <c r="Z86" s="19">
        <f t="shared" si="3"/>
        <v>504.59999999999991</v>
      </c>
      <c r="AA86" s="19"/>
      <c r="AB86" s="19"/>
      <c r="AC86" s="19"/>
    </row>
    <row r="87" spans="1:29" s="4" customFormat="1" ht="30" customHeight="1" x14ac:dyDescent="0.3">
      <c r="A87" s="20" t="s">
        <v>246</v>
      </c>
      <c r="B87" s="20" t="s">
        <v>247</v>
      </c>
      <c r="C87" s="21" t="s">
        <v>69</v>
      </c>
      <c r="D87" s="21" t="s">
        <v>70</v>
      </c>
      <c r="E87" s="22" t="s">
        <v>69</v>
      </c>
      <c r="F87" s="23" t="s">
        <v>71</v>
      </c>
      <c r="G87" s="23">
        <v>21101</v>
      </c>
      <c r="H87" s="24" t="s">
        <v>211</v>
      </c>
      <c r="I87" s="44" t="s">
        <v>326</v>
      </c>
      <c r="J87" s="25" t="s">
        <v>142</v>
      </c>
      <c r="K87" s="21" t="s">
        <v>32</v>
      </c>
      <c r="L87" s="21" t="s">
        <v>32</v>
      </c>
      <c r="M87" s="21" t="s">
        <v>56</v>
      </c>
      <c r="N87" s="25">
        <v>3</v>
      </c>
      <c r="O87" s="26">
        <f>16.14*1.16</f>
        <v>18.7224</v>
      </c>
      <c r="P87" s="13" t="s">
        <v>60</v>
      </c>
      <c r="Q87" s="19">
        <f t="shared" si="4"/>
        <v>56.167200000000001</v>
      </c>
      <c r="R87" s="19"/>
      <c r="S87" s="19"/>
      <c r="T87" s="19"/>
      <c r="U87" s="19"/>
      <c r="V87" s="19"/>
      <c r="W87" s="19"/>
      <c r="X87" s="19"/>
      <c r="Y87" s="19"/>
      <c r="Z87" s="19">
        <f t="shared" si="3"/>
        <v>56.167200000000001</v>
      </c>
      <c r="AA87" s="19"/>
      <c r="AB87" s="19"/>
      <c r="AC87" s="19"/>
    </row>
    <row r="88" spans="1:29" s="4" customFormat="1" ht="30" customHeight="1" x14ac:dyDescent="0.3">
      <c r="A88" s="20" t="s">
        <v>246</v>
      </c>
      <c r="B88" s="20" t="s">
        <v>247</v>
      </c>
      <c r="C88" s="21" t="s">
        <v>69</v>
      </c>
      <c r="D88" s="21" t="s">
        <v>70</v>
      </c>
      <c r="E88" s="22" t="s">
        <v>69</v>
      </c>
      <c r="F88" s="23" t="s">
        <v>71</v>
      </c>
      <c r="G88" s="23">
        <v>21101</v>
      </c>
      <c r="H88" s="24" t="s">
        <v>211</v>
      </c>
      <c r="I88" s="44" t="s">
        <v>327</v>
      </c>
      <c r="J88" s="25" t="s">
        <v>143</v>
      </c>
      <c r="K88" s="21" t="s">
        <v>32</v>
      </c>
      <c r="L88" s="21" t="s">
        <v>32</v>
      </c>
      <c r="M88" s="21" t="s">
        <v>55</v>
      </c>
      <c r="N88" s="25">
        <v>100</v>
      </c>
      <c r="O88" s="26">
        <f>54*1.16</f>
        <v>62.639999999999993</v>
      </c>
      <c r="P88" s="13" t="s">
        <v>60</v>
      </c>
      <c r="Q88" s="19">
        <f t="shared" si="4"/>
        <v>6263.9999999999991</v>
      </c>
      <c r="R88" s="19"/>
      <c r="S88" s="19"/>
      <c r="T88" s="19"/>
      <c r="U88" s="19"/>
      <c r="V88" s="19"/>
      <c r="W88" s="19"/>
      <c r="X88" s="19"/>
      <c r="Y88" s="19"/>
      <c r="Z88" s="19">
        <f t="shared" si="3"/>
        <v>6263.9999999999991</v>
      </c>
      <c r="AA88" s="19"/>
      <c r="AB88" s="19"/>
      <c r="AC88" s="19"/>
    </row>
    <row r="89" spans="1:29" s="4" customFormat="1" ht="30" customHeight="1" x14ac:dyDescent="0.3">
      <c r="A89" s="20" t="s">
        <v>246</v>
      </c>
      <c r="B89" s="20" t="s">
        <v>247</v>
      </c>
      <c r="C89" s="21" t="s">
        <v>69</v>
      </c>
      <c r="D89" s="21" t="s">
        <v>70</v>
      </c>
      <c r="E89" s="22" t="s">
        <v>69</v>
      </c>
      <c r="F89" s="23" t="s">
        <v>71</v>
      </c>
      <c r="G89" s="23">
        <v>21101</v>
      </c>
      <c r="H89" s="24" t="s">
        <v>211</v>
      </c>
      <c r="I89" s="44" t="s">
        <v>328</v>
      </c>
      <c r="J89" s="25" t="s">
        <v>144</v>
      </c>
      <c r="K89" s="21" t="s">
        <v>32</v>
      </c>
      <c r="L89" s="21" t="s">
        <v>32</v>
      </c>
      <c r="M89" s="21" t="s">
        <v>56</v>
      </c>
      <c r="N89" s="25">
        <v>1</v>
      </c>
      <c r="O89" s="26">
        <f>53.84*1.16</f>
        <v>62.4544</v>
      </c>
      <c r="P89" s="13" t="s">
        <v>60</v>
      </c>
      <c r="Q89" s="19">
        <f t="shared" si="4"/>
        <v>62.4544</v>
      </c>
      <c r="R89" s="19"/>
      <c r="S89" s="19"/>
      <c r="T89" s="19"/>
      <c r="U89" s="19"/>
      <c r="V89" s="19"/>
      <c r="W89" s="19"/>
      <c r="X89" s="19"/>
      <c r="Y89" s="19"/>
      <c r="Z89" s="19">
        <f t="shared" si="3"/>
        <v>62.4544</v>
      </c>
      <c r="AA89" s="19"/>
      <c r="AB89" s="19"/>
      <c r="AC89" s="19"/>
    </row>
    <row r="90" spans="1:29" s="4" customFormat="1" ht="30" customHeight="1" x14ac:dyDescent="0.3">
      <c r="A90" s="20" t="s">
        <v>246</v>
      </c>
      <c r="B90" s="20" t="s">
        <v>247</v>
      </c>
      <c r="C90" s="21" t="s">
        <v>69</v>
      </c>
      <c r="D90" s="21" t="s">
        <v>70</v>
      </c>
      <c r="E90" s="22" t="s">
        <v>69</v>
      </c>
      <c r="F90" s="23" t="s">
        <v>71</v>
      </c>
      <c r="G90" s="23">
        <v>21101</v>
      </c>
      <c r="H90" s="24" t="s">
        <v>211</v>
      </c>
      <c r="I90" s="44" t="s">
        <v>329</v>
      </c>
      <c r="J90" s="25" t="s">
        <v>145</v>
      </c>
      <c r="K90" s="21" t="s">
        <v>32</v>
      </c>
      <c r="L90" s="21" t="s">
        <v>32</v>
      </c>
      <c r="M90" s="21" t="s">
        <v>56</v>
      </c>
      <c r="N90" s="25">
        <v>70</v>
      </c>
      <c r="O90" s="26">
        <f>9.64*1.16</f>
        <v>11.182399999999999</v>
      </c>
      <c r="P90" s="13" t="s">
        <v>60</v>
      </c>
      <c r="Q90" s="19">
        <f t="shared" si="4"/>
        <v>782.76799999999992</v>
      </c>
      <c r="R90" s="19"/>
      <c r="S90" s="19"/>
      <c r="T90" s="19"/>
      <c r="U90" s="19"/>
      <c r="V90" s="19"/>
      <c r="W90" s="19"/>
      <c r="X90" s="19"/>
      <c r="Y90" s="19"/>
      <c r="Z90" s="19">
        <f t="shared" si="3"/>
        <v>782.76799999999992</v>
      </c>
      <c r="AA90" s="19"/>
      <c r="AB90" s="19"/>
      <c r="AC90" s="19"/>
    </row>
    <row r="91" spans="1:29" s="4" customFormat="1" ht="30" customHeight="1" x14ac:dyDescent="0.3">
      <c r="A91" s="20" t="s">
        <v>246</v>
      </c>
      <c r="B91" s="20" t="s">
        <v>247</v>
      </c>
      <c r="C91" s="21" t="s">
        <v>69</v>
      </c>
      <c r="D91" s="21" t="s">
        <v>70</v>
      </c>
      <c r="E91" s="22" t="s">
        <v>69</v>
      </c>
      <c r="F91" s="23" t="s">
        <v>71</v>
      </c>
      <c r="G91" s="23">
        <v>21101</v>
      </c>
      <c r="H91" s="24" t="s">
        <v>211</v>
      </c>
      <c r="I91" s="44" t="s">
        <v>330</v>
      </c>
      <c r="J91" s="25" t="s">
        <v>146</v>
      </c>
      <c r="K91" s="21" t="s">
        <v>32</v>
      </c>
      <c r="L91" s="21" t="s">
        <v>32</v>
      </c>
      <c r="M91" s="27" t="s">
        <v>54</v>
      </c>
      <c r="N91" s="25">
        <v>16</v>
      </c>
      <c r="O91" s="26">
        <f>33.6*1.16</f>
        <v>38.975999999999999</v>
      </c>
      <c r="P91" s="13" t="s">
        <v>60</v>
      </c>
      <c r="Q91" s="19">
        <f t="shared" si="4"/>
        <v>623.61599999999999</v>
      </c>
      <c r="R91" s="19"/>
      <c r="S91" s="19"/>
      <c r="T91" s="19"/>
      <c r="U91" s="19"/>
      <c r="V91" s="19"/>
      <c r="W91" s="19"/>
      <c r="X91" s="19"/>
      <c r="Y91" s="19"/>
      <c r="Z91" s="19">
        <f t="shared" si="3"/>
        <v>623.61599999999999</v>
      </c>
      <c r="AA91" s="19"/>
      <c r="AB91" s="19"/>
      <c r="AC91" s="19"/>
    </row>
    <row r="92" spans="1:29" s="4" customFormat="1" ht="30" customHeight="1" x14ac:dyDescent="0.3">
      <c r="A92" s="20" t="s">
        <v>246</v>
      </c>
      <c r="B92" s="20" t="s">
        <v>247</v>
      </c>
      <c r="C92" s="21" t="s">
        <v>69</v>
      </c>
      <c r="D92" s="21" t="s">
        <v>70</v>
      </c>
      <c r="E92" s="22" t="s">
        <v>69</v>
      </c>
      <c r="F92" s="23" t="s">
        <v>71</v>
      </c>
      <c r="G92" s="23">
        <v>21101</v>
      </c>
      <c r="H92" s="24" t="s">
        <v>211</v>
      </c>
      <c r="I92" s="44" t="s">
        <v>331</v>
      </c>
      <c r="J92" s="25" t="s">
        <v>147</v>
      </c>
      <c r="K92" s="21" t="s">
        <v>32</v>
      </c>
      <c r="L92" s="21" t="s">
        <v>32</v>
      </c>
      <c r="M92" s="27" t="s">
        <v>54</v>
      </c>
      <c r="N92" s="25">
        <v>8</v>
      </c>
      <c r="O92" s="26">
        <f>2.93*1.16</f>
        <v>3.3988</v>
      </c>
      <c r="P92" s="13" t="s">
        <v>60</v>
      </c>
      <c r="Q92" s="19">
        <f t="shared" si="4"/>
        <v>27.1904</v>
      </c>
      <c r="R92" s="19"/>
      <c r="S92" s="19"/>
      <c r="T92" s="19"/>
      <c r="U92" s="19"/>
      <c r="V92" s="19"/>
      <c r="W92" s="19"/>
      <c r="X92" s="19"/>
      <c r="Y92" s="19"/>
      <c r="Z92" s="19">
        <f t="shared" si="3"/>
        <v>27.1904</v>
      </c>
      <c r="AA92" s="19"/>
      <c r="AB92" s="19"/>
      <c r="AC92" s="19"/>
    </row>
    <row r="93" spans="1:29" s="4" customFormat="1" ht="30" customHeight="1" x14ac:dyDescent="0.3">
      <c r="A93" s="20" t="s">
        <v>246</v>
      </c>
      <c r="B93" s="20" t="s">
        <v>247</v>
      </c>
      <c r="C93" s="21" t="s">
        <v>69</v>
      </c>
      <c r="D93" s="21" t="s">
        <v>70</v>
      </c>
      <c r="E93" s="22" t="s">
        <v>69</v>
      </c>
      <c r="F93" s="23" t="s">
        <v>71</v>
      </c>
      <c r="G93" s="23">
        <v>21101</v>
      </c>
      <c r="H93" s="24" t="s">
        <v>211</v>
      </c>
      <c r="I93" s="44" t="s">
        <v>332</v>
      </c>
      <c r="J93" s="25" t="s">
        <v>148</v>
      </c>
      <c r="K93" s="21" t="s">
        <v>32</v>
      </c>
      <c r="L93" s="21" t="s">
        <v>32</v>
      </c>
      <c r="M93" s="27" t="s">
        <v>54</v>
      </c>
      <c r="N93" s="25">
        <v>50</v>
      </c>
      <c r="O93" s="26">
        <f>16.14*1.16</f>
        <v>18.7224</v>
      </c>
      <c r="P93" s="13" t="s">
        <v>60</v>
      </c>
      <c r="Q93" s="19">
        <f t="shared" si="4"/>
        <v>936.12</v>
      </c>
      <c r="R93" s="19"/>
      <c r="S93" s="19"/>
      <c r="T93" s="19"/>
      <c r="U93" s="19"/>
      <c r="V93" s="19"/>
      <c r="W93" s="19"/>
      <c r="X93" s="19"/>
      <c r="Y93" s="19"/>
      <c r="Z93" s="19">
        <f t="shared" si="3"/>
        <v>936.12</v>
      </c>
      <c r="AA93" s="19"/>
      <c r="AB93" s="19"/>
      <c r="AC93" s="19"/>
    </row>
    <row r="94" spans="1:29" s="4" customFormat="1" ht="30" customHeight="1" x14ac:dyDescent="0.3">
      <c r="A94" s="20" t="s">
        <v>246</v>
      </c>
      <c r="B94" s="20" t="s">
        <v>247</v>
      </c>
      <c r="C94" s="21" t="s">
        <v>69</v>
      </c>
      <c r="D94" s="21" t="s">
        <v>70</v>
      </c>
      <c r="E94" s="22" t="s">
        <v>69</v>
      </c>
      <c r="F94" s="23" t="s">
        <v>71</v>
      </c>
      <c r="G94" s="23">
        <v>21101</v>
      </c>
      <c r="H94" s="24" t="s">
        <v>211</v>
      </c>
      <c r="I94" s="44" t="s">
        <v>333</v>
      </c>
      <c r="J94" s="25" t="s">
        <v>149</v>
      </c>
      <c r="K94" s="21" t="s">
        <v>32</v>
      </c>
      <c r="L94" s="21" t="s">
        <v>32</v>
      </c>
      <c r="M94" s="27" t="s">
        <v>54</v>
      </c>
      <c r="N94" s="25">
        <v>5</v>
      </c>
      <c r="O94" s="26">
        <f>64.43*1.16</f>
        <v>74.738799999999998</v>
      </c>
      <c r="P94" s="13" t="s">
        <v>60</v>
      </c>
      <c r="Q94" s="19">
        <f t="shared" si="4"/>
        <v>373.69399999999996</v>
      </c>
      <c r="R94" s="19"/>
      <c r="S94" s="19"/>
      <c r="T94" s="19"/>
      <c r="U94" s="19"/>
      <c r="V94" s="19"/>
      <c r="W94" s="19"/>
      <c r="X94" s="19"/>
      <c r="Y94" s="19"/>
      <c r="Z94" s="19">
        <f t="shared" si="3"/>
        <v>373.69399999999996</v>
      </c>
      <c r="AA94" s="19"/>
      <c r="AB94" s="19"/>
      <c r="AC94" s="19"/>
    </row>
    <row r="95" spans="1:29" s="4" customFormat="1" ht="30" customHeight="1" x14ac:dyDescent="0.3">
      <c r="A95" s="20" t="s">
        <v>246</v>
      </c>
      <c r="B95" s="20" t="s">
        <v>247</v>
      </c>
      <c r="C95" s="21" t="s">
        <v>69</v>
      </c>
      <c r="D95" s="21" t="s">
        <v>70</v>
      </c>
      <c r="E95" s="22" t="s">
        <v>69</v>
      </c>
      <c r="F95" s="23" t="s">
        <v>71</v>
      </c>
      <c r="G95" s="23">
        <v>21101</v>
      </c>
      <c r="H95" s="24" t="s">
        <v>211</v>
      </c>
      <c r="I95" s="44" t="s">
        <v>334</v>
      </c>
      <c r="J95" s="25" t="s">
        <v>44</v>
      </c>
      <c r="K95" s="21" t="s">
        <v>32</v>
      </c>
      <c r="L95" s="21" t="s">
        <v>32</v>
      </c>
      <c r="M95" s="27" t="s">
        <v>54</v>
      </c>
      <c r="N95" s="25">
        <v>2</v>
      </c>
      <c r="O95" s="26">
        <f>102.95*1.16</f>
        <v>119.422</v>
      </c>
      <c r="P95" s="13" t="s">
        <v>60</v>
      </c>
      <c r="Q95" s="19">
        <f t="shared" si="4"/>
        <v>238.84399999999999</v>
      </c>
      <c r="R95" s="19"/>
      <c r="S95" s="19"/>
      <c r="T95" s="19"/>
      <c r="U95" s="19"/>
      <c r="V95" s="19"/>
      <c r="W95" s="19"/>
      <c r="X95" s="19"/>
      <c r="Y95" s="19"/>
      <c r="Z95" s="19">
        <f t="shared" si="3"/>
        <v>238.84399999999999</v>
      </c>
      <c r="AA95" s="19"/>
      <c r="AB95" s="19"/>
      <c r="AC95" s="19"/>
    </row>
    <row r="96" spans="1:29" s="4" customFormat="1" ht="38.4" customHeight="1" x14ac:dyDescent="0.3">
      <c r="A96" s="20" t="s">
        <v>246</v>
      </c>
      <c r="B96" s="20" t="s">
        <v>247</v>
      </c>
      <c r="C96" s="21" t="s">
        <v>69</v>
      </c>
      <c r="D96" s="21" t="s">
        <v>70</v>
      </c>
      <c r="E96" s="22" t="s">
        <v>69</v>
      </c>
      <c r="F96" s="23" t="s">
        <v>71</v>
      </c>
      <c r="G96" s="23">
        <v>21101</v>
      </c>
      <c r="H96" s="24" t="s">
        <v>211</v>
      </c>
      <c r="I96" s="44" t="s">
        <v>335</v>
      </c>
      <c r="J96" s="25" t="s">
        <v>150</v>
      </c>
      <c r="K96" s="21" t="s">
        <v>32</v>
      </c>
      <c r="L96" s="21" t="s">
        <v>32</v>
      </c>
      <c r="M96" s="21" t="s">
        <v>54</v>
      </c>
      <c r="N96" s="25">
        <v>2</v>
      </c>
      <c r="O96" s="26">
        <f>13.95*1.16</f>
        <v>16.181999999999999</v>
      </c>
      <c r="P96" s="13" t="s">
        <v>60</v>
      </c>
      <c r="Q96" s="19">
        <f t="shared" si="4"/>
        <v>32.363999999999997</v>
      </c>
      <c r="R96" s="19"/>
      <c r="S96" s="19"/>
      <c r="T96" s="19"/>
      <c r="U96" s="19"/>
      <c r="V96" s="19"/>
      <c r="W96" s="19"/>
      <c r="X96" s="19"/>
      <c r="Y96" s="19"/>
      <c r="Z96" s="19">
        <f t="shared" si="3"/>
        <v>32.363999999999997</v>
      </c>
      <c r="AA96" s="19"/>
      <c r="AB96" s="19"/>
      <c r="AC96" s="19"/>
    </row>
    <row r="97" spans="1:29" s="4" customFormat="1" ht="30" customHeight="1" x14ac:dyDescent="0.3">
      <c r="A97" s="20" t="s">
        <v>246</v>
      </c>
      <c r="B97" s="20" t="s">
        <v>247</v>
      </c>
      <c r="C97" s="21" t="s">
        <v>69</v>
      </c>
      <c r="D97" s="21" t="s">
        <v>70</v>
      </c>
      <c r="E97" s="22" t="s">
        <v>69</v>
      </c>
      <c r="F97" s="28" t="s">
        <v>71</v>
      </c>
      <c r="G97" s="28">
        <v>21601</v>
      </c>
      <c r="H97" s="28" t="s">
        <v>212</v>
      </c>
      <c r="I97" s="44" t="s">
        <v>336</v>
      </c>
      <c r="J97" s="28" t="s">
        <v>151</v>
      </c>
      <c r="K97" s="13" t="s">
        <v>32</v>
      </c>
      <c r="L97" s="29" t="s">
        <v>32</v>
      </c>
      <c r="M97" s="21" t="s">
        <v>54</v>
      </c>
      <c r="N97" s="28">
        <v>96</v>
      </c>
      <c r="O97" s="30">
        <f>32*1.16</f>
        <v>37.119999999999997</v>
      </c>
      <c r="P97" s="13" t="s">
        <v>60</v>
      </c>
      <c r="Q97" s="19">
        <f t="shared" si="4"/>
        <v>3563.5199999999995</v>
      </c>
      <c r="R97" s="19"/>
      <c r="S97" s="19"/>
      <c r="T97" s="19">
        <f>N97*O97</f>
        <v>3563.5199999999995</v>
      </c>
      <c r="U97" s="19"/>
      <c r="V97" s="19"/>
      <c r="W97" s="19"/>
      <c r="X97" s="19"/>
      <c r="Y97" s="19"/>
      <c r="Z97" s="19"/>
      <c r="AA97" s="19"/>
      <c r="AB97" s="19"/>
      <c r="AC97" s="19"/>
    </row>
    <row r="98" spans="1:29" s="4" customFormat="1" ht="30" customHeight="1" x14ac:dyDescent="0.3">
      <c r="A98" s="20" t="s">
        <v>246</v>
      </c>
      <c r="B98" s="20" t="s">
        <v>247</v>
      </c>
      <c r="C98" s="21" t="s">
        <v>69</v>
      </c>
      <c r="D98" s="21" t="s">
        <v>70</v>
      </c>
      <c r="E98" s="22" t="s">
        <v>69</v>
      </c>
      <c r="F98" s="28" t="s">
        <v>71</v>
      </c>
      <c r="G98" s="28">
        <v>21601</v>
      </c>
      <c r="H98" s="28" t="s">
        <v>212</v>
      </c>
      <c r="I98" s="44" t="s">
        <v>337</v>
      </c>
      <c r="J98" s="28" t="s">
        <v>152</v>
      </c>
      <c r="K98" s="13" t="s">
        <v>32</v>
      </c>
      <c r="L98" s="29" t="s">
        <v>32</v>
      </c>
      <c r="M98" s="21" t="s">
        <v>54</v>
      </c>
      <c r="N98" s="28">
        <v>32</v>
      </c>
      <c r="O98" s="30">
        <f>289.3*1.16</f>
        <v>335.58799999999997</v>
      </c>
      <c r="P98" s="13" t="s">
        <v>60</v>
      </c>
      <c r="Q98" s="19">
        <f t="shared" si="4"/>
        <v>10738.815999999999</v>
      </c>
      <c r="R98" s="19"/>
      <c r="S98" s="19"/>
      <c r="T98" s="19">
        <f>N98*O98</f>
        <v>10738.815999999999</v>
      </c>
      <c r="U98" s="19"/>
      <c r="V98" s="19"/>
      <c r="W98" s="19"/>
      <c r="X98" s="19"/>
      <c r="Y98" s="19"/>
      <c r="Z98" s="19"/>
      <c r="AA98" s="19"/>
      <c r="AB98" s="19"/>
      <c r="AC98" s="19"/>
    </row>
    <row r="99" spans="1:29" s="4" customFormat="1" ht="30" customHeight="1" x14ac:dyDescent="0.3">
      <c r="A99" s="20" t="s">
        <v>246</v>
      </c>
      <c r="B99" s="20" t="s">
        <v>247</v>
      </c>
      <c r="C99" s="21" t="s">
        <v>69</v>
      </c>
      <c r="D99" s="21" t="s">
        <v>70</v>
      </c>
      <c r="E99" s="22" t="s">
        <v>69</v>
      </c>
      <c r="F99" s="28" t="s">
        <v>71</v>
      </c>
      <c r="G99" s="28">
        <v>21601</v>
      </c>
      <c r="H99" s="28" t="s">
        <v>212</v>
      </c>
      <c r="I99" s="44" t="s">
        <v>336</v>
      </c>
      <c r="J99" s="28" t="s">
        <v>151</v>
      </c>
      <c r="K99" s="13" t="s">
        <v>32</v>
      </c>
      <c r="L99" s="29" t="s">
        <v>32</v>
      </c>
      <c r="M99" s="21" t="s">
        <v>54</v>
      </c>
      <c r="N99" s="28">
        <v>12</v>
      </c>
      <c r="O99" s="30">
        <f>31.78*1.16</f>
        <v>36.864799999999995</v>
      </c>
      <c r="P99" s="13" t="s">
        <v>60</v>
      </c>
      <c r="Q99" s="19">
        <f t="shared" si="4"/>
        <v>442.37759999999992</v>
      </c>
      <c r="R99" s="19"/>
      <c r="S99" s="19"/>
      <c r="T99" s="19">
        <f>N99*O99</f>
        <v>442.37759999999992</v>
      </c>
      <c r="U99" s="19"/>
      <c r="V99" s="19"/>
      <c r="W99" s="19"/>
      <c r="X99" s="19"/>
      <c r="Y99" s="19"/>
      <c r="Z99" s="19"/>
      <c r="AA99" s="19"/>
      <c r="AB99" s="19"/>
      <c r="AC99" s="19"/>
    </row>
    <row r="100" spans="1:29" s="4" customFormat="1" ht="30" customHeight="1" x14ac:dyDescent="0.3">
      <c r="A100" s="20" t="s">
        <v>246</v>
      </c>
      <c r="B100" s="20" t="s">
        <v>247</v>
      </c>
      <c r="C100" s="21" t="s">
        <v>69</v>
      </c>
      <c r="D100" s="21" t="s">
        <v>70</v>
      </c>
      <c r="E100" s="22" t="s">
        <v>69</v>
      </c>
      <c r="F100" s="28" t="s">
        <v>71</v>
      </c>
      <c r="G100" s="28">
        <v>21601</v>
      </c>
      <c r="H100" s="28" t="s">
        <v>212</v>
      </c>
      <c r="I100" s="44" t="s">
        <v>336</v>
      </c>
      <c r="J100" s="28" t="s">
        <v>151</v>
      </c>
      <c r="K100" s="13" t="s">
        <v>32</v>
      </c>
      <c r="L100" s="29" t="s">
        <v>32</v>
      </c>
      <c r="M100" s="21" t="s">
        <v>54</v>
      </c>
      <c r="N100" s="28">
        <v>96</v>
      </c>
      <c r="O100" s="30">
        <f>32*1.16</f>
        <v>37.119999999999997</v>
      </c>
      <c r="P100" s="13" t="s">
        <v>60</v>
      </c>
      <c r="Q100" s="19">
        <f t="shared" si="4"/>
        <v>3563.5199999999995</v>
      </c>
      <c r="R100" s="19"/>
      <c r="S100" s="19"/>
      <c r="T100" s="19">
        <f>N100*O100</f>
        <v>3563.5199999999995</v>
      </c>
      <c r="U100" s="19"/>
      <c r="V100" s="19"/>
      <c r="W100" s="19"/>
      <c r="X100" s="19"/>
      <c r="Y100" s="19"/>
      <c r="Z100" s="19"/>
      <c r="AA100" s="19"/>
      <c r="AB100" s="19"/>
      <c r="AC100" s="19"/>
    </row>
    <row r="101" spans="1:29" s="4" customFormat="1" ht="30" customHeight="1" x14ac:dyDescent="0.3">
      <c r="A101" s="20" t="s">
        <v>246</v>
      </c>
      <c r="B101" s="20" t="s">
        <v>247</v>
      </c>
      <c r="C101" s="21" t="s">
        <v>69</v>
      </c>
      <c r="D101" s="21" t="s">
        <v>70</v>
      </c>
      <c r="E101" s="22" t="s">
        <v>69</v>
      </c>
      <c r="F101" s="28" t="s">
        <v>71</v>
      </c>
      <c r="G101" s="28">
        <v>21601</v>
      </c>
      <c r="H101" s="28" t="s">
        <v>212</v>
      </c>
      <c r="I101" s="44" t="s">
        <v>337</v>
      </c>
      <c r="J101" s="28" t="s">
        <v>152</v>
      </c>
      <c r="K101" s="13" t="s">
        <v>32</v>
      </c>
      <c r="L101" s="29" t="s">
        <v>32</v>
      </c>
      <c r="M101" s="21" t="s">
        <v>54</v>
      </c>
      <c r="N101" s="28">
        <v>24</v>
      </c>
      <c r="O101" s="30">
        <f>289.3*1.16</f>
        <v>335.58799999999997</v>
      </c>
      <c r="P101" s="13" t="s">
        <v>60</v>
      </c>
      <c r="Q101" s="19">
        <f t="shared" si="4"/>
        <v>8054.1119999999992</v>
      </c>
      <c r="R101" s="19"/>
      <c r="S101" s="19"/>
      <c r="T101" s="19"/>
      <c r="U101" s="19"/>
      <c r="V101" s="19"/>
      <c r="W101" s="19">
        <f>N101*O101</f>
        <v>8054.1119999999992</v>
      </c>
      <c r="X101" s="19"/>
      <c r="Y101" s="19"/>
      <c r="Z101" s="19"/>
      <c r="AA101" s="19"/>
      <c r="AB101" s="19"/>
      <c r="AC101" s="19"/>
    </row>
    <row r="102" spans="1:29" s="4" customFormat="1" ht="30" customHeight="1" x14ac:dyDescent="0.3">
      <c r="A102" s="20" t="s">
        <v>246</v>
      </c>
      <c r="B102" s="20" t="s">
        <v>247</v>
      </c>
      <c r="C102" s="21" t="s">
        <v>69</v>
      </c>
      <c r="D102" s="21" t="s">
        <v>70</v>
      </c>
      <c r="E102" s="22" t="s">
        <v>69</v>
      </c>
      <c r="F102" s="28" t="s">
        <v>71</v>
      </c>
      <c r="G102" s="28">
        <v>21601</v>
      </c>
      <c r="H102" s="28" t="s">
        <v>212</v>
      </c>
      <c r="I102" s="44" t="s">
        <v>336</v>
      </c>
      <c r="J102" s="28" t="s">
        <v>151</v>
      </c>
      <c r="K102" s="13" t="s">
        <v>32</v>
      </c>
      <c r="L102" s="29" t="s">
        <v>32</v>
      </c>
      <c r="M102" s="21" t="s">
        <v>54</v>
      </c>
      <c r="N102" s="28">
        <v>12</v>
      </c>
      <c r="O102" s="30">
        <f>27.47*1.16</f>
        <v>31.865199999999998</v>
      </c>
      <c r="P102" s="13" t="s">
        <v>60</v>
      </c>
      <c r="Q102" s="19">
        <f t="shared" si="4"/>
        <v>382.38239999999996</v>
      </c>
      <c r="R102" s="19"/>
      <c r="S102" s="19"/>
      <c r="T102" s="19"/>
      <c r="U102" s="19"/>
      <c r="V102" s="19"/>
      <c r="W102" s="19">
        <f>N102*O102</f>
        <v>382.38239999999996</v>
      </c>
      <c r="X102" s="19"/>
      <c r="Y102" s="19"/>
      <c r="Z102" s="19"/>
      <c r="AA102" s="19"/>
      <c r="AB102" s="19"/>
      <c r="AC102" s="19"/>
    </row>
    <row r="103" spans="1:29" s="4" customFormat="1" ht="30" customHeight="1" x14ac:dyDescent="0.3">
      <c r="A103" s="20" t="s">
        <v>246</v>
      </c>
      <c r="B103" s="20" t="s">
        <v>247</v>
      </c>
      <c r="C103" s="21" t="s">
        <v>69</v>
      </c>
      <c r="D103" s="21" t="s">
        <v>70</v>
      </c>
      <c r="E103" s="22" t="s">
        <v>69</v>
      </c>
      <c r="F103" s="28" t="s">
        <v>71</v>
      </c>
      <c r="G103" s="28">
        <v>21601</v>
      </c>
      <c r="H103" s="28" t="s">
        <v>212</v>
      </c>
      <c r="I103" s="44" t="s">
        <v>336</v>
      </c>
      <c r="J103" s="28" t="s">
        <v>151</v>
      </c>
      <c r="K103" s="13"/>
      <c r="L103" s="29" t="s">
        <v>32</v>
      </c>
      <c r="M103" s="21" t="s">
        <v>54</v>
      </c>
      <c r="N103" s="28">
        <v>210</v>
      </c>
      <c r="O103" s="30">
        <f>32*1.16</f>
        <v>37.119999999999997</v>
      </c>
      <c r="P103" s="13" t="s">
        <v>60</v>
      </c>
      <c r="Q103" s="19">
        <f t="shared" si="4"/>
        <v>7795.2</v>
      </c>
      <c r="R103" s="19"/>
      <c r="S103" s="19"/>
      <c r="T103" s="19"/>
      <c r="U103" s="19"/>
      <c r="V103" s="19"/>
      <c r="W103" s="19">
        <f>N103*O103</f>
        <v>7795.2</v>
      </c>
      <c r="X103" s="19"/>
      <c r="Y103" s="19"/>
      <c r="Z103" s="19"/>
      <c r="AA103" s="19"/>
      <c r="AB103" s="19"/>
      <c r="AC103" s="19"/>
    </row>
    <row r="104" spans="1:29" s="4" customFormat="1" ht="30" customHeight="1" x14ac:dyDescent="0.3">
      <c r="A104" s="20" t="s">
        <v>246</v>
      </c>
      <c r="B104" s="20" t="s">
        <v>247</v>
      </c>
      <c r="C104" s="21" t="s">
        <v>69</v>
      </c>
      <c r="D104" s="21" t="s">
        <v>70</v>
      </c>
      <c r="E104" s="22" t="s">
        <v>69</v>
      </c>
      <c r="F104" s="28" t="s">
        <v>71</v>
      </c>
      <c r="G104" s="28">
        <v>21601</v>
      </c>
      <c r="H104" s="28" t="s">
        <v>212</v>
      </c>
      <c r="I104" s="44" t="s">
        <v>337</v>
      </c>
      <c r="J104" s="28" t="s">
        <v>152</v>
      </c>
      <c r="K104" s="13" t="s">
        <v>32</v>
      </c>
      <c r="L104" s="29" t="s">
        <v>32</v>
      </c>
      <c r="M104" s="21" t="s">
        <v>54</v>
      </c>
      <c r="N104" s="28">
        <v>32</v>
      </c>
      <c r="O104" s="30">
        <f>289.3*1.16</f>
        <v>335.58799999999997</v>
      </c>
      <c r="P104" s="13" t="s">
        <v>60</v>
      </c>
      <c r="Q104" s="19">
        <f t="shared" si="4"/>
        <v>10738.815999999999</v>
      </c>
      <c r="R104" s="19"/>
      <c r="S104" s="19"/>
      <c r="T104" s="19"/>
      <c r="U104" s="19"/>
      <c r="V104" s="19"/>
      <c r="W104" s="19"/>
      <c r="X104" s="19"/>
      <c r="Y104" s="19"/>
      <c r="Z104" s="19">
        <f>N104*O104</f>
        <v>10738.815999999999</v>
      </c>
      <c r="AA104" s="19"/>
      <c r="AB104" s="19"/>
      <c r="AC104" s="19"/>
    </row>
    <row r="105" spans="1:29" s="4" customFormat="1" ht="30" customHeight="1" x14ac:dyDescent="0.3">
      <c r="A105" s="20" t="s">
        <v>246</v>
      </c>
      <c r="B105" s="20" t="s">
        <v>247</v>
      </c>
      <c r="C105" s="21" t="s">
        <v>69</v>
      </c>
      <c r="D105" s="21" t="s">
        <v>70</v>
      </c>
      <c r="E105" s="22" t="s">
        <v>69</v>
      </c>
      <c r="F105" s="28" t="s">
        <v>71</v>
      </c>
      <c r="G105" s="28">
        <v>21601</v>
      </c>
      <c r="H105" s="28" t="s">
        <v>212</v>
      </c>
      <c r="I105" s="44" t="s">
        <v>336</v>
      </c>
      <c r="J105" s="28" t="s">
        <v>151</v>
      </c>
      <c r="K105" s="13" t="s">
        <v>32</v>
      </c>
      <c r="L105" s="29" t="s">
        <v>32</v>
      </c>
      <c r="M105" s="21" t="s">
        <v>54</v>
      </c>
      <c r="N105" s="28">
        <v>7</v>
      </c>
      <c r="O105" s="30">
        <f>18.37*1.16</f>
        <v>21.309200000000001</v>
      </c>
      <c r="P105" s="13" t="s">
        <v>60</v>
      </c>
      <c r="Q105" s="19">
        <f t="shared" si="4"/>
        <v>149.1644</v>
      </c>
      <c r="R105" s="19"/>
      <c r="S105" s="19"/>
      <c r="T105" s="19"/>
      <c r="U105" s="19"/>
      <c r="V105" s="19"/>
      <c r="W105" s="19"/>
      <c r="X105" s="19"/>
      <c r="Y105" s="19"/>
      <c r="Z105" s="19">
        <f>N105*O105</f>
        <v>149.1644</v>
      </c>
      <c r="AA105" s="19"/>
      <c r="AB105" s="19"/>
      <c r="AC105" s="19"/>
    </row>
    <row r="106" spans="1:29" s="4" customFormat="1" ht="30" customHeight="1" x14ac:dyDescent="0.3">
      <c r="A106" s="20" t="s">
        <v>246</v>
      </c>
      <c r="B106" s="20" t="s">
        <v>247</v>
      </c>
      <c r="C106" s="21" t="s">
        <v>69</v>
      </c>
      <c r="D106" s="21" t="s">
        <v>70</v>
      </c>
      <c r="E106" s="22" t="s">
        <v>69</v>
      </c>
      <c r="F106" s="28" t="s">
        <v>71</v>
      </c>
      <c r="G106" s="28">
        <v>21601</v>
      </c>
      <c r="H106" s="28" t="s">
        <v>212</v>
      </c>
      <c r="I106" s="44" t="s">
        <v>336</v>
      </c>
      <c r="J106" s="28" t="s">
        <v>151</v>
      </c>
      <c r="K106" s="13" t="s">
        <v>32</v>
      </c>
      <c r="L106" s="29" t="s">
        <v>32</v>
      </c>
      <c r="M106" s="21" t="s">
        <v>54</v>
      </c>
      <c r="N106" s="28">
        <v>121</v>
      </c>
      <c r="O106" s="30">
        <f>32*1.16</f>
        <v>37.119999999999997</v>
      </c>
      <c r="P106" s="13" t="s">
        <v>60</v>
      </c>
      <c r="Q106" s="19">
        <f t="shared" si="4"/>
        <v>4491.5199999999995</v>
      </c>
      <c r="R106" s="19"/>
      <c r="S106" s="19"/>
      <c r="T106" s="19"/>
      <c r="U106" s="19"/>
      <c r="V106" s="19"/>
      <c r="W106" s="19"/>
      <c r="X106" s="19"/>
      <c r="Y106" s="19"/>
      <c r="Z106" s="19">
        <f>N106*O106</f>
        <v>4491.5199999999995</v>
      </c>
      <c r="AA106" s="19"/>
      <c r="AB106" s="19"/>
      <c r="AC106" s="19"/>
    </row>
    <row r="107" spans="1:29" s="4" customFormat="1" ht="30" customHeight="1" x14ac:dyDescent="0.3">
      <c r="A107" s="20" t="s">
        <v>246</v>
      </c>
      <c r="B107" s="20" t="s">
        <v>247</v>
      </c>
      <c r="C107" s="21" t="s">
        <v>69</v>
      </c>
      <c r="D107" s="21" t="s">
        <v>70</v>
      </c>
      <c r="E107" s="22" t="s">
        <v>69</v>
      </c>
      <c r="F107" s="28" t="s">
        <v>71</v>
      </c>
      <c r="G107" s="28">
        <v>21601</v>
      </c>
      <c r="H107" s="28" t="s">
        <v>212</v>
      </c>
      <c r="I107" s="44" t="s">
        <v>337</v>
      </c>
      <c r="J107" s="28" t="s">
        <v>152</v>
      </c>
      <c r="K107" s="13" t="s">
        <v>32</v>
      </c>
      <c r="L107" s="29" t="s">
        <v>32</v>
      </c>
      <c r="M107" s="21" t="s">
        <v>54</v>
      </c>
      <c r="N107" s="28">
        <v>31</v>
      </c>
      <c r="O107" s="30">
        <f>289.3*1.16</f>
        <v>335.58799999999997</v>
      </c>
      <c r="P107" s="13" t="s">
        <v>60</v>
      </c>
      <c r="Q107" s="19">
        <f t="shared" si="4"/>
        <v>10403.227999999999</v>
      </c>
      <c r="R107" s="19"/>
      <c r="S107" s="19"/>
      <c r="T107" s="19"/>
      <c r="U107" s="19"/>
      <c r="V107" s="19"/>
      <c r="W107" s="19"/>
      <c r="X107" s="19"/>
      <c r="Y107" s="19"/>
      <c r="Z107" s="19">
        <f>N107*O107</f>
        <v>10403.227999999999</v>
      </c>
      <c r="AA107" s="19"/>
      <c r="AB107" s="19"/>
      <c r="AC107" s="19"/>
    </row>
    <row r="108" spans="1:29" s="4" customFormat="1" ht="30" customHeight="1" x14ac:dyDescent="0.3">
      <c r="A108" s="20" t="s">
        <v>246</v>
      </c>
      <c r="B108" s="20" t="s">
        <v>247</v>
      </c>
      <c r="C108" s="21" t="s">
        <v>69</v>
      </c>
      <c r="D108" s="21" t="s">
        <v>70</v>
      </c>
      <c r="E108" s="22" t="s">
        <v>69</v>
      </c>
      <c r="F108" s="28" t="s">
        <v>71</v>
      </c>
      <c r="G108" s="28">
        <v>21601</v>
      </c>
      <c r="H108" s="28" t="s">
        <v>212</v>
      </c>
      <c r="I108" s="44" t="s">
        <v>336</v>
      </c>
      <c r="J108" s="28" t="s">
        <v>151</v>
      </c>
      <c r="K108" s="13"/>
      <c r="L108" s="29" t="s">
        <v>32</v>
      </c>
      <c r="M108" s="21" t="s">
        <v>61</v>
      </c>
      <c r="N108" s="28">
        <v>5</v>
      </c>
      <c r="O108" s="30">
        <f>35.06*1.16</f>
        <v>40.669600000000003</v>
      </c>
      <c r="P108" s="13" t="s">
        <v>60</v>
      </c>
      <c r="Q108" s="19">
        <f t="shared" si="4"/>
        <v>203.34800000000001</v>
      </c>
      <c r="R108" s="19"/>
      <c r="S108" s="19"/>
      <c r="T108" s="19"/>
      <c r="U108" s="19"/>
      <c r="V108" s="19"/>
      <c r="W108" s="19"/>
      <c r="X108" s="19"/>
      <c r="Y108" s="19"/>
      <c r="Z108" s="19">
        <f>N108*O108</f>
        <v>203.34800000000001</v>
      </c>
      <c r="AA108" s="19"/>
      <c r="AB108" s="19"/>
      <c r="AC108" s="19"/>
    </row>
    <row r="109" spans="1:29" s="4" customFormat="1" ht="30" customHeight="1" x14ac:dyDescent="0.3">
      <c r="A109" s="20" t="s">
        <v>246</v>
      </c>
      <c r="B109" s="20" t="s">
        <v>247</v>
      </c>
      <c r="C109" s="21" t="s">
        <v>69</v>
      </c>
      <c r="D109" s="21" t="s">
        <v>70</v>
      </c>
      <c r="E109" s="22" t="s">
        <v>69</v>
      </c>
      <c r="F109" s="24" t="s">
        <v>71</v>
      </c>
      <c r="G109" s="24">
        <v>21401</v>
      </c>
      <c r="H109" s="24" t="s">
        <v>213</v>
      </c>
      <c r="I109" s="44" t="s">
        <v>338</v>
      </c>
      <c r="J109" s="24" t="s">
        <v>153</v>
      </c>
      <c r="K109" s="13" t="s">
        <v>32</v>
      </c>
      <c r="L109" s="29" t="s">
        <v>32</v>
      </c>
      <c r="M109" s="21" t="s">
        <v>54</v>
      </c>
      <c r="N109" s="25">
        <v>14</v>
      </c>
      <c r="O109" s="30">
        <f>68*1.16</f>
        <v>78.88</v>
      </c>
      <c r="P109" s="13" t="s">
        <v>60</v>
      </c>
      <c r="Q109" s="19">
        <f t="shared" si="4"/>
        <v>1104.32</v>
      </c>
      <c r="R109" s="19"/>
      <c r="S109" s="19"/>
      <c r="T109" s="19">
        <f t="shared" ref="T109:T117" si="5">N109*O109</f>
        <v>1104.32</v>
      </c>
      <c r="U109" s="19"/>
      <c r="V109" s="19"/>
      <c r="W109" s="19"/>
      <c r="X109" s="19"/>
      <c r="Y109" s="19"/>
      <c r="Z109" s="19"/>
      <c r="AA109" s="19"/>
      <c r="AB109" s="19"/>
      <c r="AC109" s="19"/>
    </row>
    <row r="110" spans="1:29" s="4" customFormat="1" ht="30" customHeight="1" x14ac:dyDescent="0.3">
      <c r="A110" s="20" t="s">
        <v>246</v>
      </c>
      <c r="B110" s="20" t="s">
        <v>247</v>
      </c>
      <c r="C110" s="21" t="s">
        <v>69</v>
      </c>
      <c r="D110" s="21" t="s">
        <v>70</v>
      </c>
      <c r="E110" s="22" t="s">
        <v>69</v>
      </c>
      <c r="F110" s="24" t="s">
        <v>71</v>
      </c>
      <c r="G110" s="24">
        <v>21401</v>
      </c>
      <c r="H110" s="24" t="s">
        <v>213</v>
      </c>
      <c r="I110" s="44" t="s">
        <v>339</v>
      </c>
      <c r="J110" s="24" t="s">
        <v>154</v>
      </c>
      <c r="K110" s="13" t="s">
        <v>32</v>
      </c>
      <c r="L110" s="29" t="s">
        <v>32</v>
      </c>
      <c r="M110" s="21" t="s">
        <v>54</v>
      </c>
      <c r="N110" s="25">
        <v>1</v>
      </c>
      <c r="O110" s="30">
        <f>3452.35*1.16</f>
        <v>4004.7259999999997</v>
      </c>
      <c r="P110" s="13" t="s">
        <v>60</v>
      </c>
      <c r="Q110" s="19">
        <f t="shared" si="4"/>
        <v>4004.7259999999997</v>
      </c>
      <c r="R110" s="19"/>
      <c r="S110" s="19"/>
      <c r="T110" s="19">
        <f t="shared" si="5"/>
        <v>4004.7259999999997</v>
      </c>
      <c r="U110" s="19"/>
      <c r="V110" s="19"/>
      <c r="W110" s="19"/>
      <c r="X110" s="19"/>
      <c r="Y110" s="19"/>
      <c r="Z110" s="19"/>
      <c r="AA110" s="19"/>
      <c r="AB110" s="19"/>
      <c r="AC110" s="19"/>
    </row>
    <row r="111" spans="1:29" s="4" customFormat="1" ht="40.200000000000003" customHeight="1" x14ac:dyDescent="0.3">
      <c r="A111" s="20" t="s">
        <v>246</v>
      </c>
      <c r="B111" s="20" t="s">
        <v>247</v>
      </c>
      <c r="C111" s="21" t="s">
        <v>69</v>
      </c>
      <c r="D111" s="21" t="s">
        <v>70</v>
      </c>
      <c r="E111" s="22" t="s">
        <v>69</v>
      </c>
      <c r="F111" s="24" t="s">
        <v>71</v>
      </c>
      <c r="G111" s="24">
        <v>21401</v>
      </c>
      <c r="H111" s="24" t="s">
        <v>213</v>
      </c>
      <c r="I111" s="44" t="s">
        <v>340</v>
      </c>
      <c r="J111" s="24" t="s">
        <v>155</v>
      </c>
      <c r="K111" s="13" t="s">
        <v>32</v>
      </c>
      <c r="L111" s="29" t="s">
        <v>32</v>
      </c>
      <c r="M111" s="21" t="s">
        <v>57</v>
      </c>
      <c r="N111" s="25">
        <v>1</v>
      </c>
      <c r="O111" s="30">
        <f>1431.6*1.16</f>
        <v>1660.6559999999997</v>
      </c>
      <c r="P111" s="13" t="s">
        <v>60</v>
      </c>
      <c r="Q111" s="19">
        <f t="shared" si="4"/>
        <v>1660.6559999999997</v>
      </c>
      <c r="R111" s="19"/>
      <c r="S111" s="19"/>
      <c r="T111" s="19">
        <f t="shared" si="5"/>
        <v>1660.6559999999997</v>
      </c>
      <c r="U111" s="19"/>
      <c r="V111" s="19"/>
      <c r="W111" s="19"/>
      <c r="X111" s="19"/>
      <c r="Y111" s="19"/>
      <c r="Z111" s="19"/>
      <c r="AA111" s="19"/>
      <c r="AB111" s="19"/>
      <c r="AC111" s="19"/>
    </row>
    <row r="112" spans="1:29" s="4" customFormat="1" ht="39" customHeight="1" x14ac:dyDescent="0.3">
      <c r="A112" s="20" t="s">
        <v>246</v>
      </c>
      <c r="B112" s="20" t="s">
        <v>247</v>
      </c>
      <c r="C112" s="21" t="s">
        <v>69</v>
      </c>
      <c r="D112" s="21" t="s">
        <v>70</v>
      </c>
      <c r="E112" s="22" t="s">
        <v>69</v>
      </c>
      <c r="F112" s="24" t="s">
        <v>71</v>
      </c>
      <c r="G112" s="24">
        <v>21401</v>
      </c>
      <c r="H112" s="24" t="s">
        <v>213</v>
      </c>
      <c r="I112" s="44" t="s">
        <v>341</v>
      </c>
      <c r="J112" s="24" t="s">
        <v>156</v>
      </c>
      <c r="K112" s="13" t="s">
        <v>32</v>
      </c>
      <c r="L112" s="29" t="s">
        <v>32</v>
      </c>
      <c r="M112" s="21" t="s">
        <v>54</v>
      </c>
      <c r="N112" s="25">
        <v>1</v>
      </c>
      <c r="O112" s="30">
        <f>92*1.16</f>
        <v>106.72</v>
      </c>
      <c r="P112" s="13" t="s">
        <v>60</v>
      </c>
      <c r="Q112" s="19">
        <f t="shared" si="4"/>
        <v>106.72</v>
      </c>
      <c r="R112" s="19"/>
      <c r="S112" s="19"/>
      <c r="T112" s="19">
        <f t="shared" si="5"/>
        <v>106.72</v>
      </c>
      <c r="U112" s="19"/>
      <c r="V112" s="19"/>
      <c r="W112" s="19"/>
      <c r="X112" s="19"/>
      <c r="Y112" s="19"/>
      <c r="Z112" s="19"/>
      <c r="AA112" s="19"/>
      <c r="AB112" s="19"/>
      <c r="AC112" s="19"/>
    </row>
    <row r="113" spans="1:29" s="4" customFormat="1" ht="37.799999999999997" customHeight="1" x14ac:dyDescent="0.3">
      <c r="A113" s="20" t="s">
        <v>246</v>
      </c>
      <c r="B113" s="20" t="s">
        <v>247</v>
      </c>
      <c r="C113" s="21" t="s">
        <v>69</v>
      </c>
      <c r="D113" s="21" t="s">
        <v>70</v>
      </c>
      <c r="E113" s="22" t="s">
        <v>69</v>
      </c>
      <c r="F113" s="24" t="s">
        <v>71</v>
      </c>
      <c r="G113" s="24">
        <v>21401</v>
      </c>
      <c r="H113" s="24" t="s">
        <v>213</v>
      </c>
      <c r="I113" s="44" t="s">
        <v>342</v>
      </c>
      <c r="J113" s="24" t="s">
        <v>157</v>
      </c>
      <c r="K113" s="13" t="s">
        <v>32</v>
      </c>
      <c r="L113" s="29" t="s">
        <v>32</v>
      </c>
      <c r="M113" s="21" t="s">
        <v>56</v>
      </c>
      <c r="N113" s="25">
        <v>1</v>
      </c>
      <c r="O113" s="30">
        <f>155*1.16</f>
        <v>179.79999999999998</v>
      </c>
      <c r="P113" s="13" t="s">
        <v>60</v>
      </c>
      <c r="Q113" s="19">
        <f t="shared" si="4"/>
        <v>179.79999999999998</v>
      </c>
      <c r="R113" s="19"/>
      <c r="S113" s="19"/>
      <c r="T113" s="19">
        <f t="shared" si="5"/>
        <v>179.79999999999998</v>
      </c>
      <c r="U113" s="19"/>
      <c r="V113" s="19"/>
      <c r="W113" s="19"/>
      <c r="X113" s="19"/>
      <c r="Y113" s="19"/>
      <c r="Z113" s="19"/>
      <c r="AA113" s="19"/>
      <c r="AB113" s="19"/>
      <c r="AC113" s="19"/>
    </row>
    <row r="114" spans="1:29" s="4" customFormat="1" ht="40.200000000000003" customHeight="1" x14ac:dyDescent="0.3">
      <c r="A114" s="20" t="s">
        <v>246</v>
      </c>
      <c r="B114" s="20" t="s">
        <v>247</v>
      </c>
      <c r="C114" s="21" t="s">
        <v>69</v>
      </c>
      <c r="D114" s="21" t="s">
        <v>70</v>
      </c>
      <c r="E114" s="22" t="s">
        <v>69</v>
      </c>
      <c r="F114" s="24" t="s">
        <v>71</v>
      </c>
      <c r="G114" s="24">
        <v>21401</v>
      </c>
      <c r="H114" s="24" t="s">
        <v>213</v>
      </c>
      <c r="I114" s="44" t="s">
        <v>343</v>
      </c>
      <c r="J114" s="24" t="s">
        <v>158</v>
      </c>
      <c r="K114" s="13" t="s">
        <v>32</v>
      </c>
      <c r="L114" s="29" t="s">
        <v>32</v>
      </c>
      <c r="M114" s="21" t="s">
        <v>64</v>
      </c>
      <c r="N114" s="25">
        <v>2</v>
      </c>
      <c r="O114" s="30">
        <f>23.71*1.16</f>
        <v>27.503599999999999</v>
      </c>
      <c r="P114" s="13" t="s">
        <v>60</v>
      </c>
      <c r="Q114" s="19">
        <f t="shared" si="4"/>
        <v>55.007199999999997</v>
      </c>
      <c r="R114" s="19"/>
      <c r="S114" s="19"/>
      <c r="T114" s="19">
        <f t="shared" si="5"/>
        <v>55.007199999999997</v>
      </c>
      <c r="U114" s="19"/>
      <c r="V114" s="19"/>
      <c r="W114" s="19"/>
      <c r="X114" s="19"/>
      <c r="Y114" s="19"/>
      <c r="Z114" s="19"/>
      <c r="AA114" s="19"/>
      <c r="AB114" s="19"/>
      <c r="AC114" s="19"/>
    </row>
    <row r="115" spans="1:29" s="4" customFormat="1" ht="40.799999999999997" customHeight="1" x14ac:dyDescent="0.3">
      <c r="A115" s="20" t="s">
        <v>246</v>
      </c>
      <c r="B115" s="20" t="s">
        <v>247</v>
      </c>
      <c r="C115" s="21" t="s">
        <v>69</v>
      </c>
      <c r="D115" s="21" t="s">
        <v>70</v>
      </c>
      <c r="E115" s="22" t="s">
        <v>69</v>
      </c>
      <c r="F115" s="24" t="s">
        <v>71</v>
      </c>
      <c r="G115" s="24">
        <v>21401</v>
      </c>
      <c r="H115" s="24" t="s">
        <v>213</v>
      </c>
      <c r="I115" s="44" t="s">
        <v>344</v>
      </c>
      <c r="J115" s="24" t="s">
        <v>159</v>
      </c>
      <c r="K115" s="13"/>
      <c r="L115" s="29" t="s">
        <v>32</v>
      </c>
      <c r="M115" s="21" t="s">
        <v>54</v>
      </c>
      <c r="N115" s="25">
        <v>5</v>
      </c>
      <c r="O115" s="30">
        <f>136*1.16</f>
        <v>157.76</v>
      </c>
      <c r="P115" s="13" t="s">
        <v>60</v>
      </c>
      <c r="Q115" s="19">
        <f t="shared" si="4"/>
        <v>788.8</v>
      </c>
      <c r="R115" s="19"/>
      <c r="S115" s="19"/>
      <c r="T115" s="19">
        <f t="shared" si="5"/>
        <v>788.8</v>
      </c>
      <c r="U115" s="19"/>
      <c r="V115" s="19"/>
      <c r="W115" s="19"/>
      <c r="X115" s="19"/>
      <c r="Y115" s="19"/>
      <c r="Z115" s="19"/>
      <c r="AA115" s="19"/>
      <c r="AB115" s="19"/>
      <c r="AC115" s="19"/>
    </row>
    <row r="116" spans="1:29" s="4" customFormat="1" ht="48.6" customHeight="1" x14ac:dyDescent="0.3">
      <c r="A116" s="20" t="s">
        <v>246</v>
      </c>
      <c r="B116" s="20" t="s">
        <v>247</v>
      </c>
      <c r="C116" s="21" t="s">
        <v>69</v>
      </c>
      <c r="D116" s="21" t="s">
        <v>70</v>
      </c>
      <c r="E116" s="22" t="s">
        <v>69</v>
      </c>
      <c r="F116" s="24" t="s">
        <v>71</v>
      </c>
      <c r="G116" s="23">
        <v>21601</v>
      </c>
      <c r="H116" s="24" t="s">
        <v>212</v>
      </c>
      <c r="I116" s="44" t="s">
        <v>345</v>
      </c>
      <c r="J116" s="25" t="s">
        <v>160</v>
      </c>
      <c r="K116" s="13" t="s">
        <v>32</v>
      </c>
      <c r="L116" s="29" t="s">
        <v>32</v>
      </c>
      <c r="M116" s="21" t="s">
        <v>55</v>
      </c>
      <c r="N116" s="32">
        <v>50</v>
      </c>
      <c r="O116" s="26">
        <f>150.78*1.16</f>
        <v>174.90479999999999</v>
      </c>
      <c r="P116" s="13" t="s">
        <v>60</v>
      </c>
      <c r="Q116" s="19">
        <f t="shared" si="4"/>
        <v>8745.24</v>
      </c>
      <c r="R116" s="19"/>
      <c r="S116" s="19"/>
      <c r="T116" s="19">
        <f t="shared" si="5"/>
        <v>8745.24</v>
      </c>
      <c r="U116" s="19"/>
      <c r="V116" s="19"/>
      <c r="W116" s="19"/>
      <c r="X116" s="19"/>
      <c r="Y116" s="19"/>
      <c r="Z116" s="19"/>
      <c r="AA116" s="19"/>
      <c r="AB116" s="19"/>
      <c r="AC116" s="19"/>
    </row>
    <row r="117" spans="1:29" s="4" customFormat="1" ht="41.4" customHeight="1" x14ac:dyDescent="0.3">
      <c r="A117" s="20" t="s">
        <v>246</v>
      </c>
      <c r="B117" s="20" t="s">
        <v>247</v>
      </c>
      <c r="C117" s="21" t="s">
        <v>69</v>
      </c>
      <c r="D117" s="21" t="s">
        <v>70</v>
      </c>
      <c r="E117" s="22" t="s">
        <v>69</v>
      </c>
      <c r="F117" s="24" t="s">
        <v>71</v>
      </c>
      <c r="G117" s="23">
        <v>21601</v>
      </c>
      <c r="H117" s="24" t="s">
        <v>212</v>
      </c>
      <c r="I117" s="44" t="s">
        <v>346</v>
      </c>
      <c r="J117" s="25" t="s">
        <v>161</v>
      </c>
      <c r="K117" s="13" t="s">
        <v>32</v>
      </c>
      <c r="L117" s="29" t="s">
        <v>32</v>
      </c>
      <c r="M117" s="21" t="s">
        <v>55</v>
      </c>
      <c r="N117" s="32">
        <v>24</v>
      </c>
      <c r="O117" s="26">
        <f>602.75*1.16</f>
        <v>699.18999999999994</v>
      </c>
      <c r="P117" s="13" t="s">
        <v>60</v>
      </c>
      <c r="Q117" s="19">
        <f t="shared" si="4"/>
        <v>16780.559999999998</v>
      </c>
      <c r="R117" s="19"/>
      <c r="S117" s="19"/>
      <c r="T117" s="19">
        <f t="shared" si="5"/>
        <v>16780.559999999998</v>
      </c>
      <c r="U117" s="19"/>
      <c r="V117" s="19"/>
      <c r="W117" s="19"/>
      <c r="X117" s="19"/>
      <c r="Y117" s="19"/>
      <c r="Z117" s="19"/>
      <c r="AA117" s="19"/>
      <c r="AB117" s="19"/>
      <c r="AC117" s="19"/>
    </row>
    <row r="118" spans="1:29" s="4" customFormat="1" ht="30" customHeight="1" x14ac:dyDescent="0.3">
      <c r="A118" s="20" t="s">
        <v>246</v>
      </c>
      <c r="B118" s="20" t="s">
        <v>247</v>
      </c>
      <c r="C118" s="21" t="s">
        <v>69</v>
      </c>
      <c r="D118" s="21" t="s">
        <v>70</v>
      </c>
      <c r="E118" s="22" t="s">
        <v>69</v>
      </c>
      <c r="F118" s="24" t="s">
        <v>71</v>
      </c>
      <c r="G118" s="23">
        <v>21601</v>
      </c>
      <c r="H118" s="24" t="s">
        <v>212</v>
      </c>
      <c r="I118" s="44" t="s">
        <v>347</v>
      </c>
      <c r="J118" s="25" t="s">
        <v>162</v>
      </c>
      <c r="K118" s="13" t="s">
        <v>32</v>
      </c>
      <c r="L118" s="29" t="s">
        <v>32</v>
      </c>
      <c r="M118" s="27" t="s">
        <v>55</v>
      </c>
      <c r="N118" s="32">
        <v>15</v>
      </c>
      <c r="O118" s="26">
        <f>25.3*1.16</f>
        <v>29.347999999999999</v>
      </c>
      <c r="P118" s="13" t="s">
        <v>60</v>
      </c>
      <c r="Q118" s="19">
        <f t="shared" si="4"/>
        <v>440.21999999999997</v>
      </c>
      <c r="R118" s="19"/>
      <c r="S118" s="19"/>
      <c r="T118" s="19"/>
      <c r="U118" s="19"/>
      <c r="V118" s="19"/>
      <c r="W118" s="19">
        <f>N118*O118</f>
        <v>440.21999999999997</v>
      </c>
      <c r="X118" s="19"/>
      <c r="Y118" s="19"/>
      <c r="Z118" s="19"/>
      <c r="AA118" s="19"/>
      <c r="AB118" s="19"/>
      <c r="AC118" s="19"/>
    </row>
    <row r="119" spans="1:29" s="4" customFormat="1" ht="30" customHeight="1" x14ac:dyDescent="0.3">
      <c r="A119" s="20" t="s">
        <v>246</v>
      </c>
      <c r="B119" s="20" t="s">
        <v>247</v>
      </c>
      <c r="C119" s="21" t="s">
        <v>69</v>
      </c>
      <c r="D119" s="21" t="s">
        <v>70</v>
      </c>
      <c r="E119" s="22" t="s">
        <v>69</v>
      </c>
      <c r="F119" s="24" t="s">
        <v>71</v>
      </c>
      <c r="G119" s="23">
        <v>21601</v>
      </c>
      <c r="H119" s="24" t="s">
        <v>212</v>
      </c>
      <c r="I119" s="44" t="s">
        <v>348</v>
      </c>
      <c r="J119" s="25" t="s">
        <v>163</v>
      </c>
      <c r="K119" s="13" t="s">
        <v>32</v>
      </c>
      <c r="L119" s="29" t="s">
        <v>32</v>
      </c>
      <c r="M119" s="27" t="s">
        <v>79</v>
      </c>
      <c r="N119" s="32">
        <v>30</v>
      </c>
      <c r="O119" s="26">
        <f>50*1.16</f>
        <v>57.999999999999993</v>
      </c>
      <c r="P119" s="13" t="s">
        <v>60</v>
      </c>
      <c r="Q119" s="19">
        <f t="shared" si="4"/>
        <v>1739.9999999999998</v>
      </c>
      <c r="R119" s="19"/>
      <c r="S119" s="19"/>
      <c r="T119" s="19"/>
      <c r="U119" s="19"/>
      <c r="V119" s="19"/>
      <c r="W119" s="19">
        <f>N119*O119</f>
        <v>1739.9999999999998</v>
      </c>
      <c r="X119" s="19"/>
      <c r="Y119" s="19"/>
      <c r="Z119" s="19"/>
      <c r="AA119" s="19"/>
      <c r="AB119" s="19"/>
      <c r="AC119" s="19"/>
    </row>
    <row r="120" spans="1:29" s="4" customFormat="1" ht="30" customHeight="1" x14ac:dyDescent="0.3">
      <c r="A120" s="20" t="s">
        <v>246</v>
      </c>
      <c r="B120" s="20" t="s">
        <v>247</v>
      </c>
      <c r="C120" s="21" t="s">
        <v>69</v>
      </c>
      <c r="D120" s="21" t="s">
        <v>70</v>
      </c>
      <c r="E120" s="22" t="s">
        <v>69</v>
      </c>
      <c r="F120" s="24" t="s">
        <v>71</v>
      </c>
      <c r="G120" s="23">
        <v>21601</v>
      </c>
      <c r="H120" s="24" t="s">
        <v>212</v>
      </c>
      <c r="I120" s="44" t="s">
        <v>349</v>
      </c>
      <c r="J120" s="25" t="s">
        <v>78</v>
      </c>
      <c r="K120" s="13" t="s">
        <v>32</v>
      </c>
      <c r="L120" s="29" t="s">
        <v>32</v>
      </c>
      <c r="M120" s="27" t="s">
        <v>55</v>
      </c>
      <c r="N120" s="32">
        <v>150</v>
      </c>
      <c r="O120" s="26">
        <f>69.75*1.16</f>
        <v>80.91</v>
      </c>
      <c r="P120" s="13" t="s">
        <v>60</v>
      </c>
      <c r="Q120" s="19">
        <f t="shared" si="4"/>
        <v>12136.5</v>
      </c>
      <c r="R120" s="19"/>
      <c r="S120" s="19"/>
      <c r="T120" s="19"/>
      <c r="U120" s="19"/>
      <c r="V120" s="19"/>
      <c r="W120" s="19">
        <f>N120*O120</f>
        <v>12136.5</v>
      </c>
      <c r="X120" s="19"/>
      <c r="Y120" s="19"/>
      <c r="Z120" s="19"/>
      <c r="AA120" s="19"/>
      <c r="AB120" s="19"/>
      <c r="AC120" s="19"/>
    </row>
    <row r="121" spans="1:29" s="4" customFormat="1" ht="30" customHeight="1" x14ac:dyDescent="0.3">
      <c r="A121" s="20" t="s">
        <v>246</v>
      </c>
      <c r="B121" s="20" t="s">
        <v>247</v>
      </c>
      <c r="C121" s="21" t="s">
        <v>69</v>
      </c>
      <c r="D121" s="21" t="s">
        <v>70</v>
      </c>
      <c r="E121" s="22" t="s">
        <v>69</v>
      </c>
      <c r="F121" s="24" t="s">
        <v>71</v>
      </c>
      <c r="G121" s="23">
        <v>21601</v>
      </c>
      <c r="H121" s="24" t="s">
        <v>212</v>
      </c>
      <c r="I121" s="44" t="s">
        <v>350</v>
      </c>
      <c r="J121" s="25" t="s">
        <v>164</v>
      </c>
      <c r="K121" s="13" t="s">
        <v>32</v>
      </c>
      <c r="L121" s="29" t="s">
        <v>32</v>
      </c>
      <c r="M121" s="27" t="s">
        <v>55</v>
      </c>
      <c r="N121" s="32">
        <v>299</v>
      </c>
      <c r="O121" s="26">
        <f>18.33*1.16</f>
        <v>21.262799999999995</v>
      </c>
      <c r="P121" s="13" t="s">
        <v>60</v>
      </c>
      <c r="Q121" s="19">
        <f t="shared" si="4"/>
        <v>6357.5771999999988</v>
      </c>
      <c r="R121" s="19"/>
      <c r="S121" s="19"/>
      <c r="T121" s="19"/>
      <c r="U121" s="19"/>
      <c r="V121" s="19"/>
      <c r="W121" s="19">
        <f>N121*O121</f>
        <v>6357.5771999999988</v>
      </c>
      <c r="X121" s="19"/>
      <c r="Y121" s="19"/>
      <c r="Z121" s="19"/>
      <c r="AA121" s="19"/>
      <c r="AB121" s="19"/>
      <c r="AC121" s="19"/>
    </row>
    <row r="122" spans="1:29" s="4" customFormat="1" ht="30" customHeight="1" x14ac:dyDescent="0.3">
      <c r="A122" s="20" t="s">
        <v>246</v>
      </c>
      <c r="B122" s="20" t="s">
        <v>247</v>
      </c>
      <c r="C122" s="21" t="s">
        <v>69</v>
      </c>
      <c r="D122" s="21" t="s">
        <v>70</v>
      </c>
      <c r="E122" s="22" t="s">
        <v>69</v>
      </c>
      <c r="F122" s="24" t="s">
        <v>71</v>
      </c>
      <c r="G122" s="23">
        <v>21601</v>
      </c>
      <c r="H122" s="24" t="s">
        <v>212</v>
      </c>
      <c r="I122" s="44" t="s">
        <v>351</v>
      </c>
      <c r="J122" s="25" t="s">
        <v>165</v>
      </c>
      <c r="K122" s="13" t="s">
        <v>32</v>
      </c>
      <c r="L122" s="29" t="s">
        <v>32</v>
      </c>
      <c r="M122" s="27" t="s">
        <v>55</v>
      </c>
      <c r="N122" s="32">
        <v>65</v>
      </c>
      <c r="O122" s="26">
        <f>190*1.16</f>
        <v>220.39999999999998</v>
      </c>
      <c r="P122" s="13" t="s">
        <v>60</v>
      </c>
      <c r="Q122" s="19">
        <f t="shared" si="4"/>
        <v>14325.999999999998</v>
      </c>
      <c r="R122" s="19"/>
      <c r="S122" s="19"/>
      <c r="T122" s="19"/>
      <c r="U122" s="19"/>
      <c r="V122" s="19"/>
      <c r="W122" s="19"/>
      <c r="X122" s="19"/>
      <c r="Y122" s="19"/>
      <c r="Z122" s="19">
        <f>N122*O122</f>
        <v>14325.999999999998</v>
      </c>
      <c r="AA122" s="19"/>
      <c r="AB122" s="19"/>
      <c r="AC122" s="19"/>
    </row>
    <row r="123" spans="1:29" s="4" customFormat="1" ht="30" customHeight="1" x14ac:dyDescent="0.3">
      <c r="A123" s="20" t="s">
        <v>246</v>
      </c>
      <c r="B123" s="20" t="s">
        <v>247</v>
      </c>
      <c r="C123" s="21" t="s">
        <v>69</v>
      </c>
      <c r="D123" s="21" t="s">
        <v>70</v>
      </c>
      <c r="E123" s="22" t="s">
        <v>69</v>
      </c>
      <c r="F123" s="24" t="s">
        <v>71</v>
      </c>
      <c r="G123" s="24">
        <v>21501</v>
      </c>
      <c r="H123" s="24" t="s">
        <v>214</v>
      </c>
      <c r="I123" s="44" t="s">
        <v>352</v>
      </c>
      <c r="J123" s="24" t="s">
        <v>166</v>
      </c>
      <c r="K123" s="13" t="s">
        <v>32</v>
      </c>
      <c r="L123" s="29" t="s">
        <v>32</v>
      </c>
      <c r="M123" s="27" t="s">
        <v>55</v>
      </c>
      <c r="N123" s="25">
        <v>2</v>
      </c>
      <c r="O123" s="30">
        <f>1939.66*1.16</f>
        <v>2250.0056</v>
      </c>
      <c r="P123" s="13" t="s">
        <v>60</v>
      </c>
      <c r="Q123" s="19">
        <f t="shared" si="4"/>
        <v>4500.0111999999999</v>
      </c>
      <c r="R123" s="19"/>
      <c r="S123" s="19"/>
      <c r="T123" s="19">
        <f>N123*O123</f>
        <v>4500.0111999999999</v>
      </c>
      <c r="U123" s="19"/>
      <c r="V123" s="19"/>
      <c r="W123" s="19"/>
      <c r="X123" s="19"/>
      <c r="Y123" s="19"/>
      <c r="Z123" s="19"/>
      <c r="AA123" s="19"/>
      <c r="AB123" s="19"/>
      <c r="AC123" s="19"/>
    </row>
    <row r="124" spans="1:29" s="4" customFormat="1" ht="30" customHeight="1" x14ac:dyDescent="0.3">
      <c r="A124" s="20" t="s">
        <v>246</v>
      </c>
      <c r="B124" s="20" t="s">
        <v>247</v>
      </c>
      <c r="C124" s="21" t="s">
        <v>69</v>
      </c>
      <c r="D124" s="21" t="s">
        <v>70</v>
      </c>
      <c r="E124" s="22" t="s">
        <v>69</v>
      </c>
      <c r="F124" s="24" t="s">
        <v>71</v>
      </c>
      <c r="G124" s="24">
        <v>22103</v>
      </c>
      <c r="H124" s="24" t="s">
        <v>215</v>
      </c>
      <c r="I124" s="44" t="s">
        <v>353</v>
      </c>
      <c r="J124" s="24" t="s">
        <v>167</v>
      </c>
      <c r="K124" s="13" t="s">
        <v>32</v>
      </c>
      <c r="L124" s="29" t="s">
        <v>32</v>
      </c>
      <c r="M124" s="27" t="s">
        <v>55</v>
      </c>
      <c r="N124" s="24">
        <v>12</v>
      </c>
      <c r="O124" s="30">
        <f>1724.14*1.16</f>
        <v>2000.0024000000001</v>
      </c>
      <c r="P124" s="13" t="s">
        <v>60</v>
      </c>
      <c r="Q124" s="19">
        <f t="shared" si="4"/>
        <v>24000</v>
      </c>
      <c r="R124" s="19">
        <v>2000</v>
      </c>
      <c r="S124" s="19">
        <v>2000</v>
      </c>
      <c r="T124" s="19">
        <v>2000</v>
      </c>
      <c r="U124" s="19">
        <v>2000</v>
      </c>
      <c r="V124" s="19">
        <v>2000</v>
      </c>
      <c r="W124" s="19">
        <v>2000</v>
      </c>
      <c r="X124" s="19">
        <v>2000</v>
      </c>
      <c r="Y124" s="19">
        <v>2000</v>
      </c>
      <c r="Z124" s="19">
        <v>2000</v>
      </c>
      <c r="AA124" s="19">
        <v>2000</v>
      </c>
      <c r="AB124" s="19">
        <v>2000</v>
      </c>
      <c r="AC124" s="19">
        <v>2000</v>
      </c>
    </row>
    <row r="125" spans="1:29" s="4" customFormat="1" ht="30" customHeight="1" x14ac:dyDescent="0.3">
      <c r="A125" s="20" t="s">
        <v>246</v>
      </c>
      <c r="B125" s="20" t="s">
        <v>247</v>
      </c>
      <c r="C125" s="21" t="s">
        <v>69</v>
      </c>
      <c r="D125" s="21" t="s">
        <v>70</v>
      </c>
      <c r="E125" s="22" t="s">
        <v>69</v>
      </c>
      <c r="F125" s="24" t="s">
        <v>71</v>
      </c>
      <c r="G125" s="24">
        <v>22104</v>
      </c>
      <c r="H125" s="24" t="s">
        <v>216</v>
      </c>
      <c r="I125" s="44" t="s">
        <v>354</v>
      </c>
      <c r="J125" s="24" t="s">
        <v>168</v>
      </c>
      <c r="K125" s="13" t="s">
        <v>32</v>
      </c>
      <c r="L125" s="29" t="s">
        <v>32</v>
      </c>
      <c r="M125" s="27" t="s">
        <v>66</v>
      </c>
      <c r="N125" s="34">
        <v>12</v>
      </c>
      <c r="O125" s="30">
        <v>7000</v>
      </c>
      <c r="P125" s="13" t="s">
        <v>60</v>
      </c>
      <c r="Q125" s="19">
        <f t="shared" si="4"/>
        <v>84000</v>
      </c>
      <c r="R125" s="19">
        <v>1000</v>
      </c>
      <c r="S125" s="19">
        <v>1000</v>
      </c>
      <c r="T125" s="19">
        <v>25000</v>
      </c>
      <c r="U125" s="19">
        <v>1000</v>
      </c>
      <c r="V125" s="19">
        <v>1000</v>
      </c>
      <c r="W125" s="19">
        <v>25000</v>
      </c>
      <c r="X125" s="19">
        <v>1000</v>
      </c>
      <c r="Y125" s="19">
        <v>1000</v>
      </c>
      <c r="Z125" s="19">
        <v>25000</v>
      </c>
      <c r="AA125" s="19">
        <v>1000</v>
      </c>
      <c r="AB125" s="19">
        <v>1000</v>
      </c>
      <c r="AC125" s="19">
        <v>1000</v>
      </c>
    </row>
    <row r="126" spans="1:29" s="4" customFormat="1" ht="37.200000000000003" customHeight="1" x14ac:dyDescent="0.3">
      <c r="A126" s="20" t="s">
        <v>246</v>
      </c>
      <c r="B126" s="20" t="s">
        <v>247</v>
      </c>
      <c r="C126" s="21" t="s">
        <v>69</v>
      </c>
      <c r="D126" s="21" t="s">
        <v>70</v>
      </c>
      <c r="E126" s="22" t="s">
        <v>69</v>
      </c>
      <c r="F126" s="24" t="s">
        <v>71</v>
      </c>
      <c r="G126" s="24">
        <v>24601</v>
      </c>
      <c r="H126" s="24" t="s">
        <v>217</v>
      </c>
      <c r="I126" s="44" t="s">
        <v>355</v>
      </c>
      <c r="J126" s="24" t="s">
        <v>170</v>
      </c>
      <c r="K126" s="13" t="s">
        <v>32</v>
      </c>
      <c r="L126" s="29" t="s">
        <v>32</v>
      </c>
      <c r="M126" s="31" t="s">
        <v>54</v>
      </c>
      <c r="N126" s="25">
        <v>9</v>
      </c>
      <c r="O126" s="30">
        <f>125*1.16</f>
        <v>145</v>
      </c>
      <c r="P126" s="13" t="s">
        <v>60</v>
      </c>
      <c r="Q126" s="19">
        <f t="shared" si="4"/>
        <v>1305</v>
      </c>
      <c r="R126" s="19"/>
      <c r="S126" s="19"/>
      <c r="T126" s="19">
        <f>O126*N126</f>
        <v>1305</v>
      </c>
      <c r="U126" s="19"/>
      <c r="V126" s="19"/>
      <c r="W126" s="19"/>
      <c r="X126" s="19"/>
      <c r="Y126" s="19"/>
      <c r="Z126" s="19"/>
      <c r="AA126" s="19"/>
      <c r="AB126" s="19"/>
      <c r="AC126" s="19"/>
    </row>
    <row r="127" spans="1:29" s="4" customFormat="1" ht="30" customHeight="1" x14ac:dyDescent="0.3">
      <c r="A127" s="20" t="s">
        <v>246</v>
      </c>
      <c r="B127" s="20" t="s">
        <v>247</v>
      </c>
      <c r="C127" s="21" t="s">
        <v>69</v>
      </c>
      <c r="D127" s="21" t="s">
        <v>70</v>
      </c>
      <c r="E127" s="22" t="s">
        <v>69</v>
      </c>
      <c r="F127" s="24" t="s">
        <v>71</v>
      </c>
      <c r="G127" s="24">
        <v>24601</v>
      </c>
      <c r="H127" s="24" t="s">
        <v>217</v>
      </c>
      <c r="I127" s="44" t="s">
        <v>356</v>
      </c>
      <c r="J127" s="24" t="s">
        <v>171</v>
      </c>
      <c r="K127" s="13" t="s">
        <v>32</v>
      </c>
      <c r="L127" s="29" t="s">
        <v>32</v>
      </c>
      <c r="M127" s="31" t="s">
        <v>54</v>
      </c>
      <c r="N127" s="25">
        <v>5</v>
      </c>
      <c r="O127" s="30">
        <f>35*1.16</f>
        <v>40.599999999999994</v>
      </c>
      <c r="P127" s="13" t="s">
        <v>60</v>
      </c>
      <c r="Q127" s="19">
        <f t="shared" si="4"/>
        <v>202.99999999999997</v>
      </c>
      <c r="R127" s="19"/>
      <c r="S127" s="19"/>
      <c r="T127" s="19">
        <f>O127*N127</f>
        <v>202.99999999999997</v>
      </c>
      <c r="U127" s="19"/>
      <c r="V127" s="19"/>
      <c r="W127" s="19"/>
      <c r="X127" s="19"/>
      <c r="Y127" s="19"/>
      <c r="Z127" s="19"/>
      <c r="AA127" s="19"/>
      <c r="AB127" s="19"/>
      <c r="AC127" s="19"/>
    </row>
    <row r="128" spans="1:29" s="4" customFormat="1" ht="40.799999999999997" customHeight="1" x14ac:dyDescent="0.3">
      <c r="A128" s="20" t="s">
        <v>246</v>
      </c>
      <c r="B128" s="20" t="s">
        <v>247</v>
      </c>
      <c r="C128" s="21" t="s">
        <v>69</v>
      </c>
      <c r="D128" s="21" t="s">
        <v>70</v>
      </c>
      <c r="E128" s="22" t="s">
        <v>69</v>
      </c>
      <c r="F128" s="24" t="s">
        <v>71</v>
      </c>
      <c r="G128" s="24">
        <v>24601</v>
      </c>
      <c r="H128" s="24" t="s">
        <v>217</v>
      </c>
      <c r="I128" s="44" t="s">
        <v>357</v>
      </c>
      <c r="J128" s="24" t="s">
        <v>172</v>
      </c>
      <c r="K128" s="13" t="s">
        <v>32</v>
      </c>
      <c r="L128" s="29" t="s">
        <v>32</v>
      </c>
      <c r="M128" s="31" t="s">
        <v>59</v>
      </c>
      <c r="N128" s="25">
        <v>30</v>
      </c>
      <c r="O128" s="30">
        <f>200*1.16</f>
        <v>231.99999999999997</v>
      </c>
      <c r="P128" s="13" t="s">
        <v>60</v>
      </c>
      <c r="Q128" s="19">
        <f t="shared" si="4"/>
        <v>6959.9999999999991</v>
      </c>
      <c r="R128" s="19"/>
      <c r="S128" s="19"/>
      <c r="T128" s="19">
        <f>O128*N128</f>
        <v>6959.9999999999991</v>
      </c>
      <c r="U128" s="19"/>
      <c r="V128" s="19"/>
      <c r="W128" s="19"/>
      <c r="X128" s="19"/>
      <c r="Y128" s="19"/>
      <c r="Z128" s="19"/>
      <c r="AA128" s="19"/>
      <c r="AB128" s="19"/>
      <c r="AC128" s="19"/>
    </row>
    <row r="129" spans="1:29" s="4" customFormat="1" ht="37.799999999999997" customHeight="1" x14ac:dyDescent="0.3">
      <c r="A129" s="20" t="s">
        <v>246</v>
      </c>
      <c r="B129" s="20" t="s">
        <v>247</v>
      </c>
      <c r="C129" s="21" t="s">
        <v>69</v>
      </c>
      <c r="D129" s="21" t="s">
        <v>70</v>
      </c>
      <c r="E129" s="22" t="s">
        <v>69</v>
      </c>
      <c r="F129" s="24" t="s">
        <v>71</v>
      </c>
      <c r="G129" s="24">
        <v>24601</v>
      </c>
      <c r="H129" s="24" t="s">
        <v>217</v>
      </c>
      <c r="I129" s="44" t="s">
        <v>357</v>
      </c>
      <c r="J129" s="24" t="s">
        <v>172</v>
      </c>
      <c r="K129" s="13" t="s">
        <v>32</v>
      </c>
      <c r="L129" s="29" t="s">
        <v>32</v>
      </c>
      <c r="M129" s="31" t="s">
        <v>54</v>
      </c>
      <c r="N129" s="25">
        <v>6</v>
      </c>
      <c r="O129" s="30">
        <f>200*1.16</f>
        <v>231.99999999999997</v>
      </c>
      <c r="P129" s="13" t="s">
        <v>60</v>
      </c>
      <c r="Q129" s="19">
        <f t="shared" si="4"/>
        <v>1391.9999999999998</v>
      </c>
      <c r="R129" s="19"/>
      <c r="S129" s="19"/>
      <c r="T129" s="19">
        <f>O129*N129</f>
        <v>1391.9999999999998</v>
      </c>
      <c r="U129" s="19"/>
      <c r="V129" s="19"/>
      <c r="W129" s="19"/>
      <c r="X129" s="19"/>
      <c r="Y129" s="19"/>
      <c r="Z129" s="19"/>
      <c r="AA129" s="19"/>
      <c r="AB129" s="19"/>
      <c r="AC129" s="19"/>
    </row>
    <row r="130" spans="1:29" s="4" customFormat="1" ht="32.4" customHeight="1" x14ac:dyDescent="0.3">
      <c r="A130" s="20" t="s">
        <v>246</v>
      </c>
      <c r="B130" s="20" t="s">
        <v>247</v>
      </c>
      <c r="C130" s="21" t="s">
        <v>69</v>
      </c>
      <c r="D130" s="21" t="s">
        <v>70</v>
      </c>
      <c r="E130" s="22" t="s">
        <v>69</v>
      </c>
      <c r="F130" s="24" t="s">
        <v>71</v>
      </c>
      <c r="G130" s="24">
        <v>24601</v>
      </c>
      <c r="H130" s="24" t="s">
        <v>217</v>
      </c>
      <c r="I130" s="44" t="s">
        <v>358</v>
      </c>
      <c r="J130" s="24" t="s">
        <v>173</v>
      </c>
      <c r="K130" s="13" t="s">
        <v>32</v>
      </c>
      <c r="L130" s="29" t="s">
        <v>32</v>
      </c>
      <c r="M130" s="27" t="s">
        <v>68</v>
      </c>
      <c r="N130" s="25">
        <v>28</v>
      </c>
      <c r="O130" s="30">
        <f>295*1.16</f>
        <v>342.2</v>
      </c>
      <c r="P130" s="13" t="s">
        <v>60</v>
      </c>
      <c r="Q130" s="19">
        <f t="shared" si="4"/>
        <v>9581.6</v>
      </c>
      <c r="R130" s="19"/>
      <c r="S130" s="19"/>
      <c r="T130" s="19"/>
      <c r="U130" s="19"/>
      <c r="V130" s="19"/>
      <c r="W130" s="19">
        <f>N130*O130</f>
        <v>9581.6</v>
      </c>
      <c r="X130" s="19"/>
      <c r="Y130" s="19"/>
      <c r="Z130" s="19"/>
      <c r="AA130" s="19"/>
      <c r="AB130" s="19"/>
      <c r="AC130" s="19"/>
    </row>
    <row r="131" spans="1:29" s="4" customFormat="1" ht="30" customHeight="1" x14ac:dyDescent="0.3">
      <c r="A131" s="20" t="s">
        <v>246</v>
      </c>
      <c r="B131" s="20" t="s">
        <v>247</v>
      </c>
      <c r="C131" s="21" t="s">
        <v>69</v>
      </c>
      <c r="D131" s="21" t="s">
        <v>70</v>
      </c>
      <c r="E131" s="22" t="s">
        <v>69</v>
      </c>
      <c r="F131" s="24" t="s">
        <v>71</v>
      </c>
      <c r="G131" s="24">
        <v>24601</v>
      </c>
      <c r="H131" s="24" t="s">
        <v>217</v>
      </c>
      <c r="I131" s="44" t="s">
        <v>359</v>
      </c>
      <c r="J131" s="24" t="s">
        <v>174</v>
      </c>
      <c r="K131" s="13" t="s">
        <v>89</v>
      </c>
      <c r="L131" s="29" t="s">
        <v>90</v>
      </c>
      <c r="M131" s="27" t="s">
        <v>68</v>
      </c>
      <c r="N131" s="25">
        <v>20</v>
      </c>
      <c r="O131" s="30">
        <f>155*1.16</f>
        <v>179.79999999999998</v>
      </c>
      <c r="P131" s="13" t="s">
        <v>88</v>
      </c>
      <c r="Q131" s="19">
        <f t="shared" si="4"/>
        <v>3595.9999999999995</v>
      </c>
      <c r="R131" s="19"/>
      <c r="S131" s="19"/>
      <c r="T131" s="19"/>
      <c r="U131" s="19"/>
      <c r="V131" s="19"/>
      <c r="W131" s="19"/>
      <c r="X131" s="19"/>
      <c r="Y131" s="19"/>
      <c r="Z131" s="19">
        <f>N131*O131</f>
        <v>3595.9999999999995</v>
      </c>
      <c r="AA131" s="19"/>
      <c r="AB131" s="19"/>
      <c r="AC131" s="19"/>
    </row>
    <row r="132" spans="1:29" s="4" customFormat="1" ht="37.799999999999997" customHeight="1" x14ac:dyDescent="0.3">
      <c r="A132" s="20" t="s">
        <v>246</v>
      </c>
      <c r="B132" s="20" t="s">
        <v>247</v>
      </c>
      <c r="C132" s="21" t="s">
        <v>69</v>
      </c>
      <c r="D132" s="21" t="s">
        <v>70</v>
      </c>
      <c r="E132" s="22" t="s">
        <v>69</v>
      </c>
      <c r="F132" s="24" t="s">
        <v>71</v>
      </c>
      <c r="G132" s="24">
        <v>24601</v>
      </c>
      <c r="H132" s="24" t="s">
        <v>217</v>
      </c>
      <c r="I132" s="44" t="s">
        <v>358</v>
      </c>
      <c r="J132" s="24" t="s">
        <v>173</v>
      </c>
      <c r="K132" s="13" t="s">
        <v>91</v>
      </c>
      <c r="L132" s="29" t="s">
        <v>90</v>
      </c>
      <c r="M132" s="27" t="s">
        <v>68</v>
      </c>
      <c r="N132" s="25">
        <v>2</v>
      </c>
      <c r="O132" s="30">
        <f>295*1.16</f>
        <v>342.2</v>
      </c>
      <c r="P132" s="13" t="s">
        <v>60</v>
      </c>
      <c r="Q132" s="19">
        <f t="shared" si="4"/>
        <v>684.4</v>
      </c>
      <c r="R132" s="19"/>
      <c r="S132" s="19"/>
      <c r="T132" s="19"/>
      <c r="U132" s="19"/>
      <c r="V132" s="19"/>
      <c r="W132" s="19"/>
      <c r="X132" s="19"/>
      <c r="Y132" s="19"/>
      <c r="Z132" s="19">
        <f>N132*O132</f>
        <v>684.4</v>
      </c>
      <c r="AA132" s="19"/>
      <c r="AB132" s="19"/>
      <c r="AC132" s="19"/>
    </row>
    <row r="133" spans="1:29" s="4" customFormat="1" ht="42" customHeight="1" x14ac:dyDescent="0.3">
      <c r="A133" s="20" t="s">
        <v>246</v>
      </c>
      <c r="B133" s="20" t="s">
        <v>247</v>
      </c>
      <c r="C133" s="21" t="s">
        <v>69</v>
      </c>
      <c r="D133" s="21" t="s">
        <v>70</v>
      </c>
      <c r="E133" s="22" t="s">
        <v>69</v>
      </c>
      <c r="F133" s="24" t="s">
        <v>71</v>
      </c>
      <c r="G133" s="24">
        <v>24601</v>
      </c>
      <c r="H133" s="24" t="s">
        <v>217</v>
      </c>
      <c r="I133" s="44" t="s">
        <v>360</v>
      </c>
      <c r="J133" s="24" t="s">
        <v>175</v>
      </c>
      <c r="K133" s="13" t="s">
        <v>32</v>
      </c>
      <c r="L133" s="29" t="s">
        <v>32</v>
      </c>
      <c r="M133" s="27" t="s">
        <v>68</v>
      </c>
      <c r="N133" s="25">
        <v>18</v>
      </c>
      <c r="O133" s="30">
        <f>120*1.16</f>
        <v>139.19999999999999</v>
      </c>
      <c r="P133" s="13" t="s">
        <v>60</v>
      </c>
      <c r="Q133" s="19">
        <f t="shared" si="4"/>
        <v>2505.6</v>
      </c>
      <c r="R133" s="19"/>
      <c r="S133" s="19"/>
      <c r="T133" s="19"/>
      <c r="U133" s="19"/>
      <c r="V133" s="19"/>
      <c r="W133" s="19"/>
      <c r="X133" s="19"/>
      <c r="Y133" s="19"/>
      <c r="Z133" s="19">
        <f>N133*O133</f>
        <v>2505.6</v>
      </c>
      <c r="AA133" s="19"/>
      <c r="AB133" s="19"/>
      <c r="AC133" s="19"/>
    </row>
    <row r="134" spans="1:29" s="4" customFormat="1" ht="37.799999999999997" customHeight="1" x14ac:dyDescent="0.3">
      <c r="A134" s="20" t="s">
        <v>246</v>
      </c>
      <c r="B134" s="20" t="s">
        <v>247</v>
      </c>
      <c r="C134" s="21" t="s">
        <v>69</v>
      </c>
      <c r="D134" s="21" t="s">
        <v>70</v>
      </c>
      <c r="E134" s="22" t="s">
        <v>69</v>
      </c>
      <c r="F134" s="24" t="s">
        <v>71</v>
      </c>
      <c r="G134" s="24">
        <v>24601</v>
      </c>
      <c r="H134" s="24" t="s">
        <v>217</v>
      </c>
      <c r="I134" s="44" t="s">
        <v>360</v>
      </c>
      <c r="J134" s="24" t="s">
        <v>175</v>
      </c>
      <c r="K134" s="13" t="s">
        <v>32</v>
      </c>
      <c r="L134" s="29" t="s">
        <v>32</v>
      </c>
      <c r="M134" s="27" t="s">
        <v>68</v>
      </c>
      <c r="N134" s="25">
        <v>9</v>
      </c>
      <c r="O134" s="30">
        <f>120*1.16</f>
        <v>139.19999999999999</v>
      </c>
      <c r="P134" s="13" t="s">
        <v>60</v>
      </c>
      <c r="Q134" s="19">
        <f t="shared" si="4"/>
        <v>1252.8</v>
      </c>
      <c r="R134" s="19"/>
      <c r="S134" s="19"/>
      <c r="T134" s="19"/>
      <c r="U134" s="19"/>
      <c r="V134" s="19"/>
      <c r="W134" s="19"/>
      <c r="X134" s="19"/>
      <c r="Y134" s="19"/>
      <c r="Z134" s="19">
        <f>N134*O134</f>
        <v>1252.8</v>
      </c>
      <c r="AA134" s="19"/>
      <c r="AB134" s="19"/>
      <c r="AC134" s="19"/>
    </row>
    <row r="135" spans="1:29" s="4" customFormat="1" ht="47.4" customHeight="1" x14ac:dyDescent="0.3">
      <c r="A135" s="20" t="s">
        <v>246</v>
      </c>
      <c r="B135" s="20" t="s">
        <v>247</v>
      </c>
      <c r="C135" s="21" t="s">
        <v>69</v>
      </c>
      <c r="D135" s="21" t="s">
        <v>70</v>
      </c>
      <c r="E135" s="22" t="s">
        <v>69</v>
      </c>
      <c r="F135" s="24" t="s">
        <v>71</v>
      </c>
      <c r="G135" s="24">
        <v>24601</v>
      </c>
      <c r="H135" s="24" t="s">
        <v>217</v>
      </c>
      <c r="I135" s="44" t="s">
        <v>361</v>
      </c>
      <c r="J135" s="24" t="s">
        <v>176</v>
      </c>
      <c r="K135" s="13" t="s">
        <v>32</v>
      </c>
      <c r="L135" s="29" t="s">
        <v>32</v>
      </c>
      <c r="M135" s="27" t="s">
        <v>68</v>
      </c>
      <c r="N135" s="25">
        <v>2</v>
      </c>
      <c r="O135" s="30">
        <f>268.8*1.16</f>
        <v>311.80799999999999</v>
      </c>
      <c r="P135" s="13" t="s">
        <v>60</v>
      </c>
      <c r="Q135" s="19">
        <f t="shared" si="4"/>
        <v>623.61599999999999</v>
      </c>
      <c r="R135" s="19"/>
      <c r="S135" s="19"/>
      <c r="T135" s="19"/>
      <c r="U135" s="19"/>
      <c r="V135" s="19"/>
      <c r="W135" s="19"/>
      <c r="X135" s="19"/>
      <c r="Y135" s="19"/>
      <c r="Z135" s="19">
        <f>N135*O135</f>
        <v>623.61599999999999</v>
      </c>
      <c r="AA135" s="19"/>
      <c r="AB135" s="19"/>
      <c r="AC135" s="19"/>
    </row>
    <row r="136" spans="1:29" s="4" customFormat="1" ht="30" customHeight="1" x14ac:dyDescent="0.3">
      <c r="A136" s="20" t="s">
        <v>246</v>
      </c>
      <c r="B136" s="20" t="s">
        <v>247</v>
      </c>
      <c r="C136" s="21" t="s">
        <v>69</v>
      </c>
      <c r="D136" s="21" t="s">
        <v>70</v>
      </c>
      <c r="E136" s="22" t="s">
        <v>69</v>
      </c>
      <c r="F136" s="24" t="s">
        <v>71</v>
      </c>
      <c r="G136" s="24">
        <v>24901</v>
      </c>
      <c r="H136" s="24" t="s">
        <v>218</v>
      </c>
      <c r="I136" s="44" t="s">
        <v>362</v>
      </c>
      <c r="J136" s="24" t="s">
        <v>177</v>
      </c>
      <c r="K136" s="13" t="s">
        <v>32</v>
      </c>
      <c r="L136" s="29" t="s">
        <v>32</v>
      </c>
      <c r="M136" s="27" t="s">
        <v>68</v>
      </c>
      <c r="N136" s="25">
        <v>1</v>
      </c>
      <c r="O136" s="30">
        <f>274.78*1.16</f>
        <v>318.74479999999994</v>
      </c>
      <c r="P136" s="13" t="s">
        <v>60</v>
      </c>
      <c r="Q136" s="19">
        <f t="shared" si="4"/>
        <v>318.74479999999994</v>
      </c>
      <c r="R136" s="19"/>
      <c r="S136" s="19"/>
      <c r="T136" s="19">
        <f>N136*O136</f>
        <v>318.74479999999994</v>
      </c>
      <c r="U136" s="19"/>
      <c r="V136" s="19"/>
      <c r="W136" s="19"/>
      <c r="X136" s="19"/>
      <c r="Y136" s="19"/>
      <c r="Z136" s="19"/>
      <c r="AA136" s="19"/>
      <c r="AB136" s="19"/>
      <c r="AC136" s="19"/>
    </row>
    <row r="137" spans="1:29" s="4" customFormat="1" ht="30" customHeight="1" x14ac:dyDescent="0.3">
      <c r="A137" s="20" t="s">
        <v>246</v>
      </c>
      <c r="B137" s="20" t="s">
        <v>247</v>
      </c>
      <c r="C137" s="21" t="s">
        <v>69</v>
      </c>
      <c r="D137" s="21" t="s">
        <v>70</v>
      </c>
      <c r="E137" s="22" t="s">
        <v>69</v>
      </c>
      <c r="F137" s="24" t="s">
        <v>71</v>
      </c>
      <c r="G137" s="24">
        <v>24901</v>
      </c>
      <c r="H137" s="24" t="s">
        <v>218</v>
      </c>
      <c r="I137" s="44" t="s">
        <v>363</v>
      </c>
      <c r="J137" s="24" t="s">
        <v>178</v>
      </c>
      <c r="K137" s="35" t="s">
        <v>95</v>
      </c>
      <c r="L137" s="29" t="s">
        <v>92</v>
      </c>
      <c r="M137" s="27" t="s">
        <v>73</v>
      </c>
      <c r="N137" s="25">
        <v>1</v>
      </c>
      <c r="O137" s="30">
        <f>120*1.16</f>
        <v>139.19999999999999</v>
      </c>
      <c r="P137" s="13" t="s">
        <v>60</v>
      </c>
      <c r="Q137" s="19">
        <f t="shared" si="4"/>
        <v>139.19999999999999</v>
      </c>
      <c r="R137" s="19"/>
      <c r="S137" s="19"/>
      <c r="T137" s="19">
        <f>N137*O137</f>
        <v>139.19999999999999</v>
      </c>
      <c r="U137" s="19"/>
      <c r="V137" s="19"/>
      <c r="W137" s="19"/>
      <c r="X137" s="19"/>
      <c r="Y137" s="19"/>
      <c r="Z137" s="19"/>
      <c r="AA137" s="19"/>
      <c r="AB137" s="19"/>
      <c r="AC137" s="19"/>
    </row>
    <row r="138" spans="1:29" s="4" customFormat="1" ht="42" customHeight="1" x14ac:dyDescent="0.3">
      <c r="A138" s="20" t="s">
        <v>246</v>
      </c>
      <c r="B138" s="20" t="s">
        <v>247</v>
      </c>
      <c r="C138" s="21" t="s">
        <v>69</v>
      </c>
      <c r="D138" s="21" t="s">
        <v>70</v>
      </c>
      <c r="E138" s="22" t="s">
        <v>69</v>
      </c>
      <c r="F138" s="24" t="s">
        <v>71</v>
      </c>
      <c r="G138" s="24">
        <v>24901</v>
      </c>
      <c r="H138" s="24" t="s">
        <v>218</v>
      </c>
      <c r="I138" s="44" t="s">
        <v>364</v>
      </c>
      <c r="J138" s="24" t="s">
        <v>179</v>
      </c>
      <c r="K138" s="13" t="s">
        <v>93</v>
      </c>
      <c r="L138" s="29" t="s">
        <v>90</v>
      </c>
      <c r="M138" s="27" t="s">
        <v>68</v>
      </c>
      <c r="N138" s="25">
        <v>2</v>
      </c>
      <c r="O138" s="30">
        <f>232.75*1.16</f>
        <v>269.99</v>
      </c>
      <c r="P138" s="13" t="s">
        <v>88</v>
      </c>
      <c r="Q138" s="19">
        <f t="shared" si="4"/>
        <v>539.98</v>
      </c>
      <c r="R138" s="19"/>
      <c r="S138" s="19"/>
      <c r="T138" s="19">
        <f>N138*O138</f>
        <v>539.98</v>
      </c>
      <c r="U138" s="19"/>
      <c r="V138" s="19"/>
      <c r="W138" s="19"/>
      <c r="X138" s="19"/>
      <c r="Y138" s="19"/>
      <c r="Z138" s="19"/>
      <c r="AA138" s="19"/>
      <c r="AB138" s="19"/>
      <c r="AC138" s="19"/>
    </row>
    <row r="139" spans="1:29" s="4" customFormat="1" ht="42" customHeight="1" x14ac:dyDescent="0.3">
      <c r="A139" s="20" t="s">
        <v>246</v>
      </c>
      <c r="B139" s="20" t="s">
        <v>247</v>
      </c>
      <c r="C139" s="21" t="s">
        <v>69</v>
      </c>
      <c r="D139" s="21" t="s">
        <v>70</v>
      </c>
      <c r="E139" s="22" t="s">
        <v>69</v>
      </c>
      <c r="F139" s="24" t="s">
        <v>71</v>
      </c>
      <c r="G139" s="24">
        <v>29601</v>
      </c>
      <c r="H139" s="24" t="s">
        <v>219</v>
      </c>
      <c r="I139" s="44" t="s">
        <v>365</v>
      </c>
      <c r="J139" s="24" t="s">
        <v>180</v>
      </c>
      <c r="K139" s="13" t="s">
        <v>94</v>
      </c>
      <c r="L139" s="29" t="s">
        <v>90</v>
      </c>
      <c r="M139" s="27" t="s">
        <v>68</v>
      </c>
      <c r="N139" s="25">
        <v>5</v>
      </c>
      <c r="O139" s="30">
        <f>1982.75*1.16</f>
        <v>2299.9899999999998</v>
      </c>
      <c r="P139" s="13" t="s">
        <v>88</v>
      </c>
      <c r="Q139" s="19">
        <f t="shared" si="4"/>
        <v>11499.949999999999</v>
      </c>
      <c r="R139" s="19"/>
      <c r="S139" s="19"/>
      <c r="T139" s="19">
        <f>N139*O139</f>
        <v>11499.949999999999</v>
      </c>
      <c r="U139" s="19"/>
      <c r="V139" s="19"/>
      <c r="W139" s="19"/>
      <c r="X139" s="19"/>
      <c r="Y139" s="19"/>
      <c r="Z139" s="19"/>
      <c r="AA139" s="19"/>
      <c r="AB139" s="19"/>
      <c r="AC139" s="19"/>
    </row>
    <row r="140" spans="1:29" s="4" customFormat="1" ht="30" customHeight="1" x14ac:dyDescent="0.3">
      <c r="A140" s="20" t="s">
        <v>246</v>
      </c>
      <c r="B140" s="20" t="s">
        <v>247</v>
      </c>
      <c r="C140" s="21" t="s">
        <v>69</v>
      </c>
      <c r="D140" s="21" t="s">
        <v>70</v>
      </c>
      <c r="E140" s="22" t="s">
        <v>69</v>
      </c>
      <c r="F140" s="24" t="s">
        <v>71</v>
      </c>
      <c r="G140" s="24">
        <v>25401</v>
      </c>
      <c r="H140" s="24" t="s">
        <v>220</v>
      </c>
      <c r="I140" s="44" t="s">
        <v>366</v>
      </c>
      <c r="J140" s="24" t="s">
        <v>181</v>
      </c>
      <c r="K140" s="13" t="s">
        <v>32</v>
      </c>
      <c r="L140" s="29" t="s">
        <v>32</v>
      </c>
      <c r="M140" s="27" t="s">
        <v>54</v>
      </c>
      <c r="N140" s="32">
        <v>6003</v>
      </c>
      <c r="O140" s="30">
        <f>1.92*1.16</f>
        <v>2.2271999999999998</v>
      </c>
      <c r="P140" s="13" t="s">
        <v>60</v>
      </c>
      <c r="Q140" s="19">
        <f t="shared" ref="Q140:Q183" si="6">SUM(R140:AC140)</f>
        <v>13369.881599999999</v>
      </c>
      <c r="R140" s="19"/>
      <c r="S140" s="19"/>
      <c r="T140" s="19">
        <f>N140*O140</f>
        <v>13369.881599999999</v>
      </c>
      <c r="U140" s="19"/>
      <c r="V140" s="19"/>
      <c r="W140" s="19"/>
      <c r="X140" s="19"/>
      <c r="Y140" s="19"/>
      <c r="Z140" s="19"/>
      <c r="AA140" s="19"/>
      <c r="AB140" s="19"/>
      <c r="AC140" s="19"/>
    </row>
    <row r="141" spans="1:29" s="4" customFormat="1" ht="30" customHeight="1" x14ac:dyDescent="0.3">
      <c r="A141" s="20" t="s">
        <v>246</v>
      </c>
      <c r="B141" s="20" t="s">
        <v>247</v>
      </c>
      <c r="C141" s="21" t="s">
        <v>69</v>
      </c>
      <c r="D141" s="21" t="s">
        <v>70</v>
      </c>
      <c r="E141" s="22" t="s">
        <v>69</v>
      </c>
      <c r="F141" s="24" t="s">
        <v>71</v>
      </c>
      <c r="G141" s="24">
        <v>25401</v>
      </c>
      <c r="H141" s="24" t="s">
        <v>220</v>
      </c>
      <c r="I141" s="44" t="s">
        <v>366</v>
      </c>
      <c r="J141" s="24" t="s">
        <v>182</v>
      </c>
      <c r="K141" s="13"/>
      <c r="L141" s="29" t="s">
        <v>32</v>
      </c>
      <c r="M141" s="21" t="s">
        <v>54</v>
      </c>
      <c r="N141" s="32">
        <v>6000</v>
      </c>
      <c r="O141" s="30">
        <f>4.5*1.16</f>
        <v>5.22</v>
      </c>
      <c r="P141" s="13" t="s">
        <v>60</v>
      </c>
      <c r="Q141" s="19">
        <f t="shared" si="6"/>
        <v>31320</v>
      </c>
      <c r="R141" s="19"/>
      <c r="S141" s="19"/>
      <c r="T141" s="19"/>
      <c r="U141" s="19">
        <f>N141*O141</f>
        <v>31320</v>
      </c>
      <c r="V141" s="19"/>
      <c r="W141" s="19"/>
      <c r="X141" s="19"/>
      <c r="Y141" s="19"/>
      <c r="Z141" s="19"/>
      <c r="AA141" s="19"/>
      <c r="AB141" s="19"/>
      <c r="AC141" s="19"/>
    </row>
    <row r="142" spans="1:29" s="4" customFormat="1" ht="30" customHeight="1" x14ac:dyDescent="0.3">
      <c r="A142" s="20" t="s">
        <v>246</v>
      </c>
      <c r="B142" s="20" t="s">
        <v>247</v>
      </c>
      <c r="C142" s="21" t="s">
        <v>69</v>
      </c>
      <c r="D142" s="21" t="s">
        <v>70</v>
      </c>
      <c r="E142" s="22" t="s">
        <v>69</v>
      </c>
      <c r="F142" s="24" t="s">
        <v>71</v>
      </c>
      <c r="G142" s="24">
        <v>25401</v>
      </c>
      <c r="H142" s="24" t="s">
        <v>220</v>
      </c>
      <c r="I142" s="44" t="s">
        <v>367</v>
      </c>
      <c r="J142" s="24" t="s">
        <v>183</v>
      </c>
      <c r="K142" s="36" t="s">
        <v>32</v>
      </c>
      <c r="L142" s="29" t="s">
        <v>32</v>
      </c>
      <c r="M142" s="21" t="s">
        <v>61</v>
      </c>
      <c r="N142" s="37">
        <v>121</v>
      </c>
      <c r="O142" s="30">
        <f>22.8*1.16</f>
        <v>26.448</v>
      </c>
      <c r="P142" s="13" t="s">
        <v>60</v>
      </c>
      <c r="Q142" s="19">
        <f t="shared" si="6"/>
        <v>3200.2080000000001</v>
      </c>
      <c r="R142" s="19"/>
      <c r="S142" s="19"/>
      <c r="T142" s="19"/>
      <c r="U142" s="19"/>
      <c r="V142" s="19"/>
      <c r="W142" s="19">
        <f>N142*O142</f>
        <v>3200.2080000000001</v>
      </c>
      <c r="X142" s="19"/>
      <c r="Y142" s="19"/>
      <c r="Z142" s="19"/>
      <c r="AA142" s="19"/>
      <c r="AB142" s="19"/>
      <c r="AC142" s="19"/>
    </row>
    <row r="143" spans="1:29" s="4" customFormat="1" ht="30" customHeight="1" x14ac:dyDescent="0.3">
      <c r="A143" s="20" t="s">
        <v>246</v>
      </c>
      <c r="B143" s="20" t="s">
        <v>247</v>
      </c>
      <c r="C143" s="21" t="s">
        <v>69</v>
      </c>
      <c r="D143" s="21" t="s">
        <v>70</v>
      </c>
      <c r="E143" s="22" t="s">
        <v>69</v>
      </c>
      <c r="F143" s="24" t="s">
        <v>71</v>
      </c>
      <c r="G143" s="24">
        <v>25401</v>
      </c>
      <c r="H143" s="24" t="s">
        <v>220</v>
      </c>
      <c r="I143" s="44" t="s">
        <v>368</v>
      </c>
      <c r="J143" s="24" t="s">
        <v>184</v>
      </c>
      <c r="K143" s="13" t="s">
        <v>32</v>
      </c>
      <c r="L143" s="29" t="s">
        <v>32</v>
      </c>
      <c r="M143" s="21" t="s">
        <v>61</v>
      </c>
      <c r="N143" s="37">
        <v>126</v>
      </c>
      <c r="O143" s="30">
        <f>58*1.16</f>
        <v>67.28</v>
      </c>
      <c r="P143" s="13" t="s">
        <v>60</v>
      </c>
      <c r="Q143" s="19">
        <f t="shared" si="6"/>
        <v>8477.2800000000007</v>
      </c>
      <c r="R143" s="19"/>
      <c r="S143" s="19"/>
      <c r="T143" s="19"/>
      <c r="U143" s="19"/>
      <c r="V143" s="19"/>
      <c r="W143" s="19"/>
      <c r="X143" s="19">
        <f>N143*O143</f>
        <v>8477.2800000000007</v>
      </c>
      <c r="Y143" s="19"/>
      <c r="Z143" s="19"/>
      <c r="AA143" s="19"/>
      <c r="AB143" s="19"/>
      <c r="AC143" s="19"/>
    </row>
    <row r="144" spans="1:29" s="4" customFormat="1" ht="30" customHeight="1" x14ac:dyDescent="0.3">
      <c r="A144" s="20" t="s">
        <v>246</v>
      </c>
      <c r="B144" s="20" t="s">
        <v>247</v>
      </c>
      <c r="C144" s="21" t="s">
        <v>69</v>
      </c>
      <c r="D144" s="21" t="s">
        <v>70</v>
      </c>
      <c r="E144" s="22" t="s">
        <v>69</v>
      </c>
      <c r="F144" s="24" t="s">
        <v>71</v>
      </c>
      <c r="G144" s="24">
        <v>25401</v>
      </c>
      <c r="H144" s="24" t="s">
        <v>220</v>
      </c>
      <c r="I144" s="44" t="s">
        <v>369</v>
      </c>
      <c r="J144" s="24" t="s">
        <v>185</v>
      </c>
      <c r="K144" s="13" t="s">
        <v>32</v>
      </c>
      <c r="L144" s="29" t="s">
        <v>32</v>
      </c>
      <c r="M144" s="21" t="s">
        <v>62</v>
      </c>
      <c r="N144" s="37">
        <v>57</v>
      </c>
      <c r="O144" s="30">
        <f>780*1.16</f>
        <v>904.8</v>
      </c>
      <c r="P144" s="13" t="s">
        <v>60</v>
      </c>
      <c r="Q144" s="19">
        <f t="shared" si="6"/>
        <v>51573.599999999999</v>
      </c>
      <c r="R144" s="19"/>
      <c r="S144" s="19"/>
      <c r="T144" s="19"/>
      <c r="U144" s="19"/>
      <c r="V144" s="19"/>
      <c r="W144" s="19"/>
      <c r="X144" s="19"/>
      <c r="Y144" s="19"/>
      <c r="Z144" s="19">
        <f>N144*O144</f>
        <v>51573.599999999999</v>
      </c>
      <c r="AA144" s="19"/>
      <c r="AB144" s="19"/>
      <c r="AC144" s="19"/>
    </row>
    <row r="145" spans="1:29" s="4" customFormat="1" ht="30" customHeight="1" x14ac:dyDescent="0.3">
      <c r="A145" s="20" t="s">
        <v>246</v>
      </c>
      <c r="B145" s="20" t="s">
        <v>247</v>
      </c>
      <c r="C145" s="21" t="s">
        <v>69</v>
      </c>
      <c r="D145" s="21" t="s">
        <v>70</v>
      </c>
      <c r="E145" s="22" t="s">
        <v>69</v>
      </c>
      <c r="F145" s="24" t="s">
        <v>71</v>
      </c>
      <c r="G145" s="24">
        <v>26102</v>
      </c>
      <c r="H145" s="24" t="s">
        <v>221</v>
      </c>
      <c r="I145" s="44" t="s">
        <v>313</v>
      </c>
      <c r="J145" s="24" t="s">
        <v>186</v>
      </c>
      <c r="K145" s="13" t="s">
        <v>32</v>
      </c>
      <c r="L145" s="29" t="s">
        <v>32</v>
      </c>
      <c r="M145" s="21" t="s">
        <v>54</v>
      </c>
      <c r="N145" s="38">
        <v>12</v>
      </c>
      <c r="O145" s="30">
        <f>23347.71*1.16</f>
        <v>27083.343599999997</v>
      </c>
      <c r="P145" s="13" t="s">
        <v>60</v>
      </c>
      <c r="Q145" s="19">
        <f t="shared" si="6"/>
        <v>325000</v>
      </c>
      <c r="R145" s="19">
        <v>25000</v>
      </c>
      <c r="S145" s="19">
        <v>25000</v>
      </c>
      <c r="T145" s="19">
        <v>25000</v>
      </c>
      <c r="U145" s="19">
        <v>25000</v>
      </c>
      <c r="V145" s="19">
        <v>25000</v>
      </c>
      <c r="W145" s="19">
        <v>25000</v>
      </c>
      <c r="X145" s="19">
        <v>25000</v>
      </c>
      <c r="Y145" s="19">
        <v>25000</v>
      </c>
      <c r="Z145" s="19">
        <v>25000</v>
      </c>
      <c r="AA145" s="19">
        <v>25000</v>
      </c>
      <c r="AB145" s="19">
        <v>25000</v>
      </c>
      <c r="AC145" s="19">
        <v>50000</v>
      </c>
    </row>
    <row r="146" spans="1:29" s="4" customFormat="1" ht="30" customHeight="1" x14ac:dyDescent="0.3">
      <c r="A146" s="20" t="s">
        <v>246</v>
      </c>
      <c r="B146" s="20" t="s">
        <v>247</v>
      </c>
      <c r="C146" s="21" t="s">
        <v>69</v>
      </c>
      <c r="D146" s="21" t="s">
        <v>70</v>
      </c>
      <c r="E146" s="22" t="s">
        <v>69</v>
      </c>
      <c r="F146" s="24" t="s">
        <v>71</v>
      </c>
      <c r="G146" s="24">
        <v>29101</v>
      </c>
      <c r="H146" s="24" t="s">
        <v>222</v>
      </c>
      <c r="I146" s="44" t="s">
        <v>370</v>
      </c>
      <c r="J146" s="24" t="s">
        <v>187</v>
      </c>
      <c r="K146" s="13" t="s">
        <v>32</v>
      </c>
      <c r="L146" s="29" t="s">
        <v>32</v>
      </c>
      <c r="M146" s="21" t="s">
        <v>55</v>
      </c>
      <c r="N146" s="24">
        <v>2</v>
      </c>
      <c r="O146" s="30">
        <f>1077.59*1.16</f>
        <v>1250.0043999999998</v>
      </c>
      <c r="P146" s="13" t="s">
        <v>60</v>
      </c>
      <c r="Q146" s="19">
        <f t="shared" si="6"/>
        <v>2500.0087999999996</v>
      </c>
      <c r="R146" s="19"/>
      <c r="S146" s="19"/>
      <c r="T146" s="19">
        <f>N146*O146</f>
        <v>2500.0087999999996</v>
      </c>
      <c r="U146" s="19"/>
      <c r="V146" s="19"/>
      <c r="W146" s="19"/>
      <c r="X146" s="19"/>
      <c r="Y146" s="19"/>
      <c r="Z146" s="19"/>
      <c r="AA146" s="19"/>
      <c r="AB146" s="19"/>
      <c r="AC146" s="19"/>
    </row>
    <row r="147" spans="1:29" s="4" customFormat="1" ht="30" customHeight="1" x14ac:dyDescent="0.3">
      <c r="A147" s="20" t="s">
        <v>246</v>
      </c>
      <c r="B147" s="20" t="s">
        <v>247</v>
      </c>
      <c r="C147" s="21" t="s">
        <v>69</v>
      </c>
      <c r="D147" s="21" t="s">
        <v>70</v>
      </c>
      <c r="E147" s="22" t="s">
        <v>69</v>
      </c>
      <c r="F147" s="24" t="s">
        <v>71</v>
      </c>
      <c r="G147" s="24">
        <v>29301</v>
      </c>
      <c r="H147" s="24" t="s">
        <v>223</v>
      </c>
      <c r="I147" s="44" t="s">
        <v>371</v>
      </c>
      <c r="J147" s="24" t="s">
        <v>188</v>
      </c>
      <c r="K147" s="13" t="s">
        <v>32</v>
      </c>
      <c r="L147" s="29" t="s">
        <v>32</v>
      </c>
      <c r="M147" s="21" t="s">
        <v>54</v>
      </c>
      <c r="N147" s="24">
        <v>1</v>
      </c>
      <c r="O147" s="30">
        <f>5065*1.16</f>
        <v>5875.4</v>
      </c>
      <c r="P147" s="13" t="s">
        <v>60</v>
      </c>
      <c r="Q147" s="19">
        <f t="shared" si="6"/>
        <v>5875.4</v>
      </c>
      <c r="R147" s="19"/>
      <c r="S147" s="19"/>
      <c r="T147" s="19">
        <f>N147*O147</f>
        <v>5875.4</v>
      </c>
      <c r="U147" s="19"/>
      <c r="V147" s="19"/>
      <c r="W147" s="19"/>
      <c r="X147" s="19"/>
      <c r="Y147" s="19"/>
      <c r="Z147" s="19"/>
      <c r="AA147" s="19"/>
      <c r="AB147" s="19"/>
      <c r="AC147" s="19"/>
    </row>
    <row r="148" spans="1:29" s="4" customFormat="1" ht="30" customHeight="1" x14ac:dyDescent="0.3">
      <c r="A148" s="20" t="s">
        <v>246</v>
      </c>
      <c r="B148" s="20" t="s">
        <v>247</v>
      </c>
      <c r="C148" s="21" t="s">
        <v>69</v>
      </c>
      <c r="D148" s="21" t="s">
        <v>70</v>
      </c>
      <c r="E148" s="22" t="s">
        <v>69</v>
      </c>
      <c r="F148" s="24" t="s">
        <v>71</v>
      </c>
      <c r="G148" s="24">
        <v>29301</v>
      </c>
      <c r="H148" s="24" t="s">
        <v>223</v>
      </c>
      <c r="I148" s="44" t="s">
        <v>372</v>
      </c>
      <c r="J148" s="24" t="s">
        <v>189</v>
      </c>
      <c r="K148" s="7" t="s">
        <v>32</v>
      </c>
      <c r="L148" s="7" t="s">
        <v>32</v>
      </c>
      <c r="M148" s="7" t="s">
        <v>56</v>
      </c>
      <c r="N148" s="24">
        <v>2</v>
      </c>
      <c r="O148" s="30">
        <f>1088.19*1.16</f>
        <v>1262.3004000000001</v>
      </c>
      <c r="P148" s="7" t="s">
        <v>60</v>
      </c>
      <c r="Q148" s="19">
        <f t="shared" si="6"/>
        <v>2524.6008000000002</v>
      </c>
      <c r="R148" s="19"/>
      <c r="S148" s="19"/>
      <c r="T148" s="19">
        <f>N148*O148</f>
        <v>2524.6008000000002</v>
      </c>
      <c r="U148" s="19"/>
      <c r="V148" s="19"/>
      <c r="W148" s="19"/>
      <c r="X148" s="19"/>
      <c r="Y148" s="19"/>
      <c r="Z148" s="19"/>
      <c r="AA148" s="19"/>
      <c r="AB148" s="19"/>
      <c r="AC148" s="19"/>
    </row>
    <row r="149" spans="1:29" s="4" customFormat="1" ht="30" customHeight="1" x14ac:dyDescent="0.3">
      <c r="A149" s="20" t="s">
        <v>246</v>
      </c>
      <c r="B149" s="20" t="s">
        <v>247</v>
      </c>
      <c r="C149" s="21" t="s">
        <v>69</v>
      </c>
      <c r="D149" s="21" t="s">
        <v>70</v>
      </c>
      <c r="E149" s="22" t="s">
        <v>69</v>
      </c>
      <c r="F149" s="24" t="s">
        <v>71</v>
      </c>
      <c r="G149" s="24">
        <v>31801</v>
      </c>
      <c r="H149" s="24" t="s">
        <v>224</v>
      </c>
      <c r="I149" s="7"/>
      <c r="J149" s="24" t="s">
        <v>190</v>
      </c>
      <c r="K149" s="7" t="s">
        <v>32</v>
      </c>
      <c r="L149" s="7" t="s">
        <v>32</v>
      </c>
      <c r="M149" s="7" t="s">
        <v>56</v>
      </c>
      <c r="N149" s="24">
        <v>3</v>
      </c>
      <c r="O149" s="30">
        <f>4565.55*1.16</f>
        <v>5296.0379999999996</v>
      </c>
      <c r="P149" s="7" t="s">
        <v>60</v>
      </c>
      <c r="Q149" s="19">
        <f t="shared" si="6"/>
        <v>15888.106</v>
      </c>
      <c r="R149" s="19"/>
      <c r="S149" s="19"/>
      <c r="T149" s="19">
        <f>O149</f>
        <v>5296.0379999999996</v>
      </c>
      <c r="U149" s="19"/>
      <c r="V149" s="19"/>
      <c r="W149" s="19">
        <f>O149</f>
        <v>5296.0379999999996</v>
      </c>
      <c r="X149" s="19"/>
      <c r="Y149" s="19"/>
      <c r="Z149" s="19">
        <v>5296.03</v>
      </c>
      <c r="AA149" s="19"/>
      <c r="AB149" s="19"/>
      <c r="AC149" s="19"/>
    </row>
    <row r="150" spans="1:29" s="4" customFormat="1" ht="30" customHeight="1" x14ac:dyDescent="0.3">
      <c r="A150" s="20" t="s">
        <v>246</v>
      </c>
      <c r="B150" s="20" t="s">
        <v>247</v>
      </c>
      <c r="C150" s="21" t="s">
        <v>69</v>
      </c>
      <c r="D150" s="21" t="s">
        <v>70</v>
      </c>
      <c r="E150" s="22" t="s">
        <v>69</v>
      </c>
      <c r="F150" s="24" t="s">
        <v>71</v>
      </c>
      <c r="G150" s="24">
        <v>32601</v>
      </c>
      <c r="H150" s="24" t="s">
        <v>225</v>
      </c>
      <c r="I150" s="21"/>
      <c r="J150" s="24" t="s">
        <v>191</v>
      </c>
      <c r="K150" s="13" t="s">
        <v>32</v>
      </c>
      <c r="L150" s="29" t="s">
        <v>32</v>
      </c>
      <c r="M150" s="21" t="s">
        <v>54</v>
      </c>
      <c r="N150" s="24">
        <v>12</v>
      </c>
      <c r="O150" s="30">
        <f>3879.31*1.16</f>
        <v>4499.9995999999992</v>
      </c>
      <c r="P150" s="13" t="s">
        <v>88</v>
      </c>
      <c r="Q150" s="19">
        <f t="shared" si="6"/>
        <v>53999.995999999985</v>
      </c>
      <c r="R150" s="19"/>
      <c r="S150" s="19">
        <f>O150</f>
        <v>4499.9995999999992</v>
      </c>
      <c r="T150" s="19">
        <v>4499.9995999999992</v>
      </c>
      <c r="U150" s="19">
        <v>4499.9995999999992</v>
      </c>
      <c r="V150" s="19">
        <v>4499.9995999999992</v>
      </c>
      <c r="W150" s="19">
        <v>4499.9995999999992</v>
      </c>
      <c r="X150" s="19">
        <v>4499.9995999999992</v>
      </c>
      <c r="Y150" s="19">
        <v>4499.9995999999992</v>
      </c>
      <c r="Z150" s="19">
        <v>4499.9995999999992</v>
      </c>
      <c r="AA150" s="19">
        <v>4499.9995999999992</v>
      </c>
      <c r="AB150" s="19">
        <v>4499.9995999999992</v>
      </c>
      <c r="AC150" s="19">
        <v>9000</v>
      </c>
    </row>
    <row r="151" spans="1:29" s="4" customFormat="1" ht="30" customHeight="1" x14ac:dyDescent="0.3">
      <c r="A151" s="20" t="s">
        <v>246</v>
      </c>
      <c r="B151" s="20" t="s">
        <v>247</v>
      </c>
      <c r="C151" s="21" t="s">
        <v>69</v>
      </c>
      <c r="D151" s="21" t="s">
        <v>70</v>
      </c>
      <c r="E151" s="22" t="s">
        <v>69</v>
      </c>
      <c r="F151" s="24" t="s">
        <v>71</v>
      </c>
      <c r="G151" s="24">
        <v>33901</v>
      </c>
      <c r="H151" s="24" t="s">
        <v>226</v>
      </c>
      <c r="I151" s="21"/>
      <c r="J151" s="24" t="s">
        <v>192</v>
      </c>
      <c r="K151" s="13" t="s">
        <v>32</v>
      </c>
      <c r="L151" s="29" t="s">
        <v>32</v>
      </c>
      <c r="M151" s="21" t="s">
        <v>54</v>
      </c>
      <c r="N151" s="24">
        <v>12</v>
      </c>
      <c r="O151" s="30">
        <f>172.41*1.16</f>
        <v>199.9956</v>
      </c>
      <c r="P151" s="13" t="s">
        <v>88</v>
      </c>
      <c r="Q151" s="19">
        <f t="shared" si="6"/>
        <v>2400</v>
      </c>
      <c r="R151" s="19">
        <v>200</v>
      </c>
      <c r="S151" s="19">
        <v>200</v>
      </c>
      <c r="T151" s="19">
        <v>200</v>
      </c>
      <c r="U151" s="19">
        <v>200</v>
      </c>
      <c r="V151" s="19">
        <v>200</v>
      </c>
      <c r="W151" s="19">
        <v>200</v>
      </c>
      <c r="X151" s="19">
        <v>200</v>
      </c>
      <c r="Y151" s="19">
        <v>200</v>
      </c>
      <c r="Z151" s="19">
        <v>200</v>
      </c>
      <c r="AA151" s="19">
        <v>200</v>
      </c>
      <c r="AB151" s="19">
        <v>400</v>
      </c>
      <c r="AC151" s="19"/>
    </row>
    <row r="152" spans="1:29" s="4" customFormat="1" ht="30" customHeight="1" x14ac:dyDescent="0.3">
      <c r="A152" s="20" t="s">
        <v>246</v>
      </c>
      <c r="B152" s="20" t="s">
        <v>247</v>
      </c>
      <c r="C152" s="21" t="s">
        <v>69</v>
      </c>
      <c r="D152" s="21" t="s">
        <v>70</v>
      </c>
      <c r="E152" s="22" t="s">
        <v>69</v>
      </c>
      <c r="F152" s="24" t="s">
        <v>71</v>
      </c>
      <c r="G152" s="24">
        <v>34101</v>
      </c>
      <c r="H152" s="24" t="s">
        <v>227</v>
      </c>
      <c r="I152" s="21"/>
      <c r="J152" s="24" t="s">
        <v>193</v>
      </c>
      <c r="K152" s="39" t="s">
        <v>32</v>
      </c>
      <c r="L152" s="29" t="s">
        <v>32</v>
      </c>
      <c r="M152" s="21" t="s">
        <v>63</v>
      </c>
      <c r="N152" s="24">
        <v>1</v>
      </c>
      <c r="O152" s="30">
        <v>5000</v>
      </c>
      <c r="P152" s="13" t="s">
        <v>60</v>
      </c>
      <c r="Q152" s="19">
        <f t="shared" si="6"/>
        <v>5000</v>
      </c>
      <c r="R152" s="19"/>
      <c r="S152" s="19"/>
      <c r="T152" s="19"/>
      <c r="U152" s="19"/>
      <c r="V152" s="19"/>
      <c r="W152" s="19"/>
      <c r="X152" s="19"/>
      <c r="Y152" s="19"/>
      <c r="Z152" s="19"/>
      <c r="AA152" s="19">
        <f>N152*O152</f>
        <v>5000</v>
      </c>
      <c r="AB152" s="19"/>
      <c r="AC152" s="19"/>
    </row>
    <row r="153" spans="1:29" s="4" customFormat="1" ht="30" customHeight="1" x14ac:dyDescent="0.3">
      <c r="A153" s="20" t="s">
        <v>246</v>
      </c>
      <c r="B153" s="20" t="s">
        <v>247</v>
      </c>
      <c r="C153" s="21" t="s">
        <v>69</v>
      </c>
      <c r="D153" s="21" t="s">
        <v>70</v>
      </c>
      <c r="E153" s="22" t="s">
        <v>69</v>
      </c>
      <c r="F153" s="24" t="s">
        <v>71</v>
      </c>
      <c r="G153" s="24">
        <v>34701</v>
      </c>
      <c r="H153" s="24" t="s">
        <v>228</v>
      </c>
      <c r="I153" s="21"/>
      <c r="J153" s="24" t="s">
        <v>194</v>
      </c>
      <c r="K153" s="13" t="s">
        <v>32</v>
      </c>
      <c r="L153" s="29" t="s">
        <v>32</v>
      </c>
      <c r="M153" s="31" t="s">
        <v>54</v>
      </c>
      <c r="N153" s="24">
        <v>1</v>
      </c>
      <c r="O153" s="30">
        <f>3103.45*1.16</f>
        <v>3600.0019999999995</v>
      </c>
      <c r="P153" s="13" t="s">
        <v>60</v>
      </c>
      <c r="Q153" s="19">
        <f t="shared" si="6"/>
        <v>3600</v>
      </c>
      <c r="R153" s="19"/>
      <c r="S153" s="19"/>
      <c r="T153" s="19">
        <v>3600</v>
      </c>
      <c r="U153" s="19"/>
      <c r="V153" s="19"/>
      <c r="W153" s="19"/>
      <c r="X153" s="19"/>
      <c r="Y153" s="19"/>
      <c r="Z153" s="19"/>
      <c r="AA153" s="19"/>
      <c r="AB153" s="19"/>
      <c r="AC153" s="19"/>
    </row>
    <row r="154" spans="1:29" s="4" customFormat="1" ht="30" customHeight="1" x14ac:dyDescent="0.3">
      <c r="A154" s="20" t="s">
        <v>246</v>
      </c>
      <c r="B154" s="20" t="s">
        <v>247</v>
      </c>
      <c r="C154" s="21" t="s">
        <v>69</v>
      </c>
      <c r="D154" s="21" t="s">
        <v>70</v>
      </c>
      <c r="E154" s="22" t="s">
        <v>69</v>
      </c>
      <c r="F154" s="24" t="s">
        <v>71</v>
      </c>
      <c r="G154" s="24">
        <v>35101</v>
      </c>
      <c r="H154" s="24" t="s">
        <v>229</v>
      </c>
      <c r="I154" s="21"/>
      <c r="J154" s="24" t="s">
        <v>195</v>
      </c>
      <c r="K154" s="13" t="s">
        <v>32</v>
      </c>
      <c r="L154" s="29" t="s">
        <v>32</v>
      </c>
      <c r="M154" s="21" t="s">
        <v>65</v>
      </c>
      <c r="N154" s="24">
        <v>1</v>
      </c>
      <c r="O154" s="30">
        <v>102000</v>
      </c>
      <c r="P154" s="13" t="s">
        <v>60</v>
      </c>
      <c r="Q154" s="19">
        <f t="shared" si="6"/>
        <v>102000</v>
      </c>
      <c r="R154" s="19"/>
      <c r="S154" s="19"/>
      <c r="T154" s="19">
        <f>N154*O154</f>
        <v>102000</v>
      </c>
      <c r="U154" s="19"/>
      <c r="V154" s="19"/>
      <c r="W154" s="19"/>
      <c r="X154" s="19"/>
      <c r="Y154" s="19"/>
      <c r="Z154" s="19"/>
      <c r="AA154" s="19"/>
      <c r="AB154" s="19"/>
      <c r="AC154" s="19"/>
    </row>
    <row r="155" spans="1:29" s="4" customFormat="1" ht="30" customHeight="1" x14ac:dyDescent="0.3">
      <c r="A155" s="20" t="s">
        <v>246</v>
      </c>
      <c r="B155" s="20" t="s">
        <v>247</v>
      </c>
      <c r="C155" s="21" t="s">
        <v>69</v>
      </c>
      <c r="D155" s="21" t="s">
        <v>70</v>
      </c>
      <c r="E155" s="22" t="s">
        <v>69</v>
      </c>
      <c r="F155" s="24" t="s">
        <v>71</v>
      </c>
      <c r="G155" s="24">
        <v>35501</v>
      </c>
      <c r="H155" s="24" t="s">
        <v>230</v>
      </c>
      <c r="I155" s="33"/>
      <c r="J155" s="24" t="s">
        <v>196</v>
      </c>
      <c r="K155" s="13" t="s">
        <v>32</v>
      </c>
      <c r="L155" s="29" t="s">
        <v>32</v>
      </c>
      <c r="M155" s="27" t="s">
        <v>54</v>
      </c>
      <c r="N155" s="24">
        <v>11</v>
      </c>
      <c r="O155" s="30">
        <f>4257.8405*1.16</f>
        <v>4939.0949799999999</v>
      </c>
      <c r="P155" s="13" t="s">
        <v>60</v>
      </c>
      <c r="Q155" s="19">
        <f t="shared" si="6"/>
        <v>54330</v>
      </c>
      <c r="R155" s="19">
        <v>3509</v>
      </c>
      <c r="S155" s="19">
        <v>620</v>
      </c>
      <c r="T155" s="19">
        <v>20000</v>
      </c>
      <c r="U155" s="19">
        <v>3896</v>
      </c>
      <c r="V155" s="19">
        <v>620</v>
      </c>
      <c r="W155" s="19">
        <v>3509</v>
      </c>
      <c r="X155" s="19">
        <v>620</v>
      </c>
      <c r="Y155" s="19">
        <v>15800</v>
      </c>
      <c r="Z155" s="19">
        <v>3896</v>
      </c>
      <c r="AA155" s="19">
        <v>620</v>
      </c>
      <c r="AB155" s="19">
        <v>1240</v>
      </c>
      <c r="AC155" s="19"/>
    </row>
    <row r="156" spans="1:29" s="4" customFormat="1" ht="30" customHeight="1" x14ac:dyDescent="0.3">
      <c r="A156" s="20" t="s">
        <v>246</v>
      </c>
      <c r="B156" s="20" t="s">
        <v>247</v>
      </c>
      <c r="C156" s="21" t="s">
        <v>69</v>
      </c>
      <c r="D156" s="21" t="s">
        <v>70</v>
      </c>
      <c r="E156" s="22" t="s">
        <v>69</v>
      </c>
      <c r="F156" s="24" t="s">
        <v>71</v>
      </c>
      <c r="G156" s="24">
        <v>35701</v>
      </c>
      <c r="H156" s="24" t="s">
        <v>231</v>
      </c>
      <c r="I156" s="31"/>
      <c r="J156" s="24" t="s">
        <v>197</v>
      </c>
      <c r="K156" s="13" t="s">
        <v>32</v>
      </c>
      <c r="L156" s="29" t="s">
        <v>32</v>
      </c>
      <c r="M156" s="31" t="s">
        <v>67</v>
      </c>
      <c r="N156" s="24">
        <v>12</v>
      </c>
      <c r="O156" s="30">
        <f>5758.19*1.16</f>
        <v>6679.500399999999</v>
      </c>
      <c r="P156" s="13" t="s">
        <v>60</v>
      </c>
      <c r="Q156" s="19">
        <f t="shared" si="6"/>
        <v>80154</v>
      </c>
      <c r="R156" s="19"/>
      <c r="S156" s="19">
        <v>5000</v>
      </c>
      <c r="T156" s="19">
        <v>15000</v>
      </c>
      <c r="U156" s="19">
        <v>5000</v>
      </c>
      <c r="V156" s="19">
        <v>5000</v>
      </c>
      <c r="W156" s="19">
        <v>5000</v>
      </c>
      <c r="X156" s="19">
        <v>15154</v>
      </c>
      <c r="Y156" s="19">
        <v>5000</v>
      </c>
      <c r="Z156" s="19">
        <v>5000</v>
      </c>
      <c r="AA156" s="19">
        <v>5000</v>
      </c>
      <c r="AB156" s="19">
        <v>5000</v>
      </c>
      <c r="AC156" s="19">
        <v>10000</v>
      </c>
    </row>
    <row r="157" spans="1:29" s="4" customFormat="1" ht="30" customHeight="1" x14ac:dyDescent="0.3">
      <c r="A157" s="20" t="s">
        <v>246</v>
      </c>
      <c r="B157" s="20" t="s">
        <v>247</v>
      </c>
      <c r="C157" s="21" t="s">
        <v>69</v>
      </c>
      <c r="D157" s="21" t="s">
        <v>70</v>
      </c>
      <c r="E157" s="22" t="s">
        <v>69</v>
      </c>
      <c r="F157" s="24" t="s">
        <v>71</v>
      </c>
      <c r="G157" s="24">
        <v>37504</v>
      </c>
      <c r="H157" s="24" t="s">
        <v>232</v>
      </c>
      <c r="I157" s="31"/>
      <c r="J157" s="24" t="s">
        <v>198</v>
      </c>
      <c r="K157" s="13" t="s">
        <v>32</v>
      </c>
      <c r="L157" s="29" t="s">
        <v>32</v>
      </c>
      <c r="M157" s="31" t="s">
        <v>54</v>
      </c>
      <c r="N157" s="24">
        <v>12</v>
      </c>
      <c r="O157" s="30">
        <f>1250</f>
        <v>1250</v>
      </c>
      <c r="P157" s="13" t="s">
        <v>60</v>
      </c>
      <c r="Q157" s="19">
        <f t="shared" si="6"/>
        <v>15000</v>
      </c>
      <c r="R157" s="19">
        <v>1250</v>
      </c>
      <c r="S157" s="19">
        <v>1250</v>
      </c>
      <c r="T157" s="19">
        <v>1250</v>
      </c>
      <c r="U157" s="19">
        <v>1250</v>
      </c>
      <c r="V157" s="19">
        <v>1250</v>
      </c>
      <c r="W157" s="19">
        <v>1250</v>
      </c>
      <c r="X157" s="19">
        <v>1250</v>
      </c>
      <c r="Y157" s="19">
        <v>1250</v>
      </c>
      <c r="Z157" s="19">
        <v>1250</v>
      </c>
      <c r="AA157" s="19">
        <v>1250</v>
      </c>
      <c r="AB157" s="19">
        <v>1250</v>
      </c>
      <c r="AC157" s="19">
        <v>1250</v>
      </c>
    </row>
    <row r="158" spans="1:29" s="4" customFormat="1" ht="30" customHeight="1" x14ac:dyDescent="0.3">
      <c r="A158" s="20" t="s">
        <v>246</v>
      </c>
      <c r="B158" s="20" t="s">
        <v>247</v>
      </c>
      <c r="C158" s="21" t="s">
        <v>69</v>
      </c>
      <c r="D158" s="21" t="s">
        <v>70</v>
      </c>
      <c r="E158" s="22" t="s">
        <v>69</v>
      </c>
      <c r="F158" s="24" t="s">
        <v>71</v>
      </c>
      <c r="G158" s="24">
        <v>38501</v>
      </c>
      <c r="H158" s="24" t="s">
        <v>233</v>
      </c>
      <c r="I158" s="31"/>
      <c r="J158" s="24" t="s">
        <v>199</v>
      </c>
      <c r="K158" s="13" t="s">
        <v>32</v>
      </c>
      <c r="L158" s="29" t="s">
        <v>32</v>
      </c>
      <c r="M158" s="31" t="s">
        <v>54</v>
      </c>
      <c r="N158" s="24">
        <v>12</v>
      </c>
      <c r="O158" s="30">
        <v>3000</v>
      </c>
      <c r="P158" s="13" t="s">
        <v>60</v>
      </c>
      <c r="Q158" s="19">
        <f t="shared" si="6"/>
        <v>36000</v>
      </c>
      <c r="R158" s="19">
        <v>3000</v>
      </c>
      <c r="S158" s="19">
        <v>3000</v>
      </c>
      <c r="T158" s="19">
        <v>3000</v>
      </c>
      <c r="U158" s="19">
        <v>3000</v>
      </c>
      <c r="V158" s="19">
        <v>3000</v>
      </c>
      <c r="W158" s="19">
        <v>3000</v>
      </c>
      <c r="X158" s="19">
        <v>3000</v>
      </c>
      <c r="Y158" s="19">
        <v>3000</v>
      </c>
      <c r="Z158" s="19">
        <v>3000</v>
      </c>
      <c r="AA158" s="19">
        <v>3000</v>
      </c>
      <c r="AB158" s="19">
        <v>3000</v>
      </c>
      <c r="AC158" s="19">
        <v>3000</v>
      </c>
    </row>
    <row r="159" spans="1:29" s="4" customFormat="1" ht="30" customHeight="1" x14ac:dyDescent="0.3">
      <c r="A159" s="20" t="s">
        <v>246</v>
      </c>
      <c r="B159" s="20" t="s">
        <v>247</v>
      </c>
      <c r="C159" s="21" t="s">
        <v>69</v>
      </c>
      <c r="D159" s="21" t="s">
        <v>70</v>
      </c>
      <c r="E159" s="22" t="s">
        <v>69</v>
      </c>
      <c r="F159" s="24" t="s">
        <v>71</v>
      </c>
      <c r="G159" s="24">
        <v>39202</v>
      </c>
      <c r="H159" s="24" t="s">
        <v>234</v>
      </c>
      <c r="I159" s="31"/>
      <c r="J159" s="24" t="s">
        <v>200</v>
      </c>
      <c r="K159" s="13" t="s">
        <v>32</v>
      </c>
      <c r="L159" s="29" t="s">
        <v>32</v>
      </c>
      <c r="M159" s="31" t="s">
        <v>54</v>
      </c>
      <c r="N159" s="24">
        <v>12</v>
      </c>
      <c r="O159" s="30">
        <v>6166.67</v>
      </c>
      <c r="P159" s="13" t="s">
        <v>60</v>
      </c>
      <c r="Q159" s="19">
        <f t="shared" si="6"/>
        <v>74000</v>
      </c>
      <c r="R159" s="19">
        <v>6000</v>
      </c>
      <c r="S159" s="19">
        <v>6000</v>
      </c>
      <c r="T159" s="19">
        <v>8000</v>
      </c>
      <c r="U159" s="19">
        <v>6000</v>
      </c>
      <c r="V159" s="19">
        <v>6000</v>
      </c>
      <c r="W159" s="19">
        <v>6000</v>
      </c>
      <c r="X159" s="19">
        <v>6000</v>
      </c>
      <c r="Y159" s="19">
        <v>6000</v>
      </c>
      <c r="Z159" s="19">
        <v>6000</v>
      </c>
      <c r="AA159" s="19">
        <v>6000</v>
      </c>
      <c r="AB159" s="19">
        <v>6000</v>
      </c>
      <c r="AC159" s="19">
        <v>6000</v>
      </c>
    </row>
    <row r="160" spans="1:29" s="4" customFormat="1" ht="30" customHeight="1" x14ac:dyDescent="0.3">
      <c r="A160" s="20" t="s">
        <v>246</v>
      </c>
      <c r="B160" s="20" t="s">
        <v>247</v>
      </c>
      <c r="C160" s="21" t="s">
        <v>69</v>
      </c>
      <c r="D160" s="21" t="s">
        <v>70</v>
      </c>
      <c r="E160" s="22" t="s">
        <v>69</v>
      </c>
      <c r="F160" s="24" t="s">
        <v>71</v>
      </c>
      <c r="G160" s="24">
        <v>51101</v>
      </c>
      <c r="H160" s="24" t="s">
        <v>235</v>
      </c>
      <c r="I160" s="44" t="s">
        <v>376</v>
      </c>
      <c r="J160" s="24" t="s">
        <v>201</v>
      </c>
      <c r="K160" s="13" t="s">
        <v>32</v>
      </c>
      <c r="L160" s="29" t="s">
        <v>32</v>
      </c>
      <c r="M160" s="41" t="s">
        <v>54</v>
      </c>
      <c r="N160" s="24">
        <v>20</v>
      </c>
      <c r="O160" s="30">
        <f>4224.14*1.16</f>
        <v>4900.0024000000003</v>
      </c>
      <c r="P160" s="13" t="s">
        <v>60</v>
      </c>
      <c r="Q160" s="19">
        <f t="shared" si="6"/>
        <v>98000</v>
      </c>
      <c r="R160" s="19"/>
      <c r="S160" s="19"/>
      <c r="T160" s="19">
        <v>98000</v>
      </c>
      <c r="U160" s="19"/>
      <c r="V160" s="19"/>
      <c r="W160" s="19"/>
      <c r="X160" s="19"/>
      <c r="Y160" s="19"/>
      <c r="Z160" s="19"/>
      <c r="AA160" s="19"/>
      <c r="AB160" s="19"/>
      <c r="AC160" s="19"/>
    </row>
    <row r="161" spans="1:29" s="4" customFormat="1" ht="30" customHeight="1" x14ac:dyDescent="0.3">
      <c r="A161" s="20" t="s">
        <v>246</v>
      </c>
      <c r="B161" s="20" t="s">
        <v>247</v>
      </c>
      <c r="C161" s="21" t="s">
        <v>69</v>
      </c>
      <c r="D161" s="21" t="s">
        <v>70</v>
      </c>
      <c r="E161" s="22" t="s">
        <v>69</v>
      </c>
      <c r="F161" s="24" t="s">
        <v>72</v>
      </c>
      <c r="G161" s="24">
        <v>31301</v>
      </c>
      <c r="H161" s="24" t="s">
        <v>236</v>
      </c>
      <c r="I161" s="40"/>
      <c r="J161" s="24" t="s">
        <v>202</v>
      </c>
      <c r="K161" s="13" t="s">
        <v>32</v>
      </c>
      <c r="L161" s="29" t="s">
        <v>32</v>
      </c>
      <c r="M161" s="41" t="s">
        <v>54</v>
      </c>
      <c r="N161" s="24">
        <v>12</v>
      </c>
      <c r="O161" s="30">
        <f>Q161/12</f>
        <v>1627.5</v>
      </c>
      <c r="P161" s="13" t="s">
        <v>60</v>
      </c>
      <c r="Q161" s="19">
        <f t="shared" si="6"/>
        <v>19530</v>
      </c>
      <c r="R161" s="19">
        <v>1500</v>
      </c>
      <c r="S161" s="19">
        <v>1755</v>
      </c>
      <c r="T161" s="19">
        <v>1500</v>
      </c>
      <c r="U161" s="19">
        <v>1755</v>
      </c>
      <c r="V161" s="19">
        <v>1500</v>
      </c>
      <c r="W161" s="19">
        <v>1755</v>
      </c>
      <c r="X161" s="19">
        <v>1500</v>
      </c>
      <c r="Y161" s="19">
        <v>1755</v>
      </c>
      <c r="Z161" s="19">
        <v>1500</v>
      </c>
      <c r="AA161" s="19">
        <v>1755</v>
      </c>
      <c r="AB161" s="19">
        <v>1500</v>
      </c>
      <c r="AC161" s="19">
        <v>1755</v>
      </c>
    </row>
    <row r="162" spans="1:29" s="4" customFormat="1" ht="30" customHeight="1" x14ac:dyDescent="0.3">
      <c r="A162" s="20" t="s">
        <v>246</v>
      </c>
      <c r="B162" s="20" t="s">
        <v>247</v>
      </c>
      <c r="C162" s="21" t="s">
        <v>69</v>
      </c>
      <c r="D162" s="21" t="s">
        <v>70</v>
      </c>
      <c r="E162" s="22" t="s">
        <v>69</v>
      </c>
      <c r="F162" s="24" t="s">
        <v>72</v>
      </c>
      <c r="G162" s="24">
        <v>31401</v>
      </c>
      <c r="H162" s="24" t="s">
        <v>237</v>
      </c>
      <c r="I162" s="40"/>
      <c r="J162" s="24" t="s">
        <v>203</v>
      </c>
      <c r="K162" s="13" t="s">
        <v>32</v>
      </c>
      <c r="L162" s="29" t="s">
        <v>32</v>
      </c>
      <c r="M162" s="41" t="s">
        <v>54</v>
      </c>
      <c r="N162" s="24">
        <v>12</v>
      </c>
      <c r="O162" s="30">
        <v>5000</v>
      </c>
      <c r="P162" s="13" t="s">
        <v>60</v>
      </c>
      <c r="Q162" s="19">
        <f t="shared" si="6"/>
        <v>60000</v>
      </c>
      <c r="R162" s="19">
        <v>5000</v>
      </c>
      <c r="S162" s="19">
        <v>5000</v>
      </c>
      <c r="T162" s="19">
        <v>5000</v>
      </c>
      <c r="U162" s="19">
        <v>5000</v>
      </c>
      <c r="V162" s="19">
        <v>5000</v>
      </c>
      <c r="W162" s="19">
        <v>5000</v>
      </c>
      <c r="X162" s="19">
        <v>5000</v>
      </c>
      <c r="Y162" s="19">
        <v>5000</v>
      </c>
      <c r="Z162" s="19">
        <v>5000</v>
      </c>
      <c r="AA162" s="19">
        <v>5000</v>
      </c>
      <c r="AB162" s="19">
        <v>5000</v>
      </c>
      <c r="AC162" s="19">
        <v>5000</v>
      </c>
    </row>
    <row r="163" spans="1:29" s="4" customFormat="1" ht="30" customHeight="1" x14ac:dyDescent="0.3">
      <c r="A163" s="20" t="s">
        <v>246</v>
      </c>
      <c r="B163" s="20" t="s">
        <v>247</v>
      </c>
      <c r="C163" s="21" t="s">
        <v>69</v>
      </c>
      <c r="D163" s="21" t="s">
        <v>70</v>
      </c>
      <c r="E163" s="22" t="s">
        <v>69</v>
      </c>
      <c r="F163" s="24" t="s">
        <v>72</v>
      </c>
      <c r="G163" s="24">
        <v>32201</v>
      </c>
      <c r="H163" s="24" t="s">
        <v>238</v>
      </c>
      <c r="I163" s="40"/>
      <c r="J163" s="24" t="s">
        <v>204</v>
      </c>
      <c r="K163" s="13" t="s">
        <v>32</v>
      </c>
      <c r="L163" s="29" t="s">
        <v>32</v>
      </c>
      <c r="M163" s="41" t="s">
        <v>54</v>
      </c>
      <c r="N163" s="24">
        <v>12</v>
      </c>
      <c r="O163" s="30">
        <f>Q163/12</f>
        <v>34288.833333333336</v>
      </c>
      <c r="P163" s="13" t="s">
        <v>60</v>
      </c>
      <c r="Q163" s="19">
        <f t="shared" si="6"/>
        <v>411466</v>
      </c>
      <c r="R163" s="19"/>
      <c r="S163" s="19">
        <v>34289</v>
      </c>
      <c r="T163" s="19">
        <v>34289</v>
      </c>
      <c r="U163" s="19">
        <v>34289</v>
      </c>
      <c r="V163" s="19">
        <v>34289</v>
      </c>
      <c r="W163" s="19">
        <v>34289</v>
      </c>
      <c r="X163" s="19">
        <v>34289</v>
      </c>
      <c r="Y163" s="19">
        <v>34289</v>
      </c>
      <c r="Z163" s="19">
        <v>34289</v>
      </c>
      <c r="AA163" s="19">
        <v>34289</v>
      </c>
      <c r="AB163" s="19">
        <v>34289</v>
      </c>
      <c r="AC163" s="19">
        <v>68576</v>
      </c>
    </row>
    <row r="164" spans="1:29" s="4" customFormat="1" ht="30" customHeight="1" x14ac:dyDescent="0.3">
      <c r="A164" s="20" t="s">
        <v>246</v>
      </c>
      <c r="B164" s="20" t="s">
        <v>247</v>
      </c>
      <c r="C164" s="21" t="s">
        <v>69</v>
      </c>
      <c r="D164" s="21" t="s">
        <v>70</v>
      </c>
      <c r="E164" s="22" t="s">
        <v>69</v>
      </c>
      <c r="F164" s="24" t="s">
        <v>72</v>
      </c>
      <c r="G164" s="24">
        <v>33801</v>
      </c>
      <c r="H164" s="24" t="s">
        <v>239</v>
      </c>
      <c r="I164" s="40"/>
      <c r="J164" s="24" t="s">
        <v>205</v>
      </c>
      <c r="K164" s="13" t="s">
        <v>32</v>
      </c>
      <c r="L164" s="29" t="s">
        <v>32</v>
      </c>
      <c r="M164" s="41" t="s">
        <v>54</v>
      </c>
      <c r="N164" s="24">
        <v>12</v>
      </c>
      <c r="O164" s="30">
        <f>Q164/12</f>
        <v>36978.083333333336</v>
      </c>
      <c r="P164" s="13" t="s">
        <v>88</v>
      </c>
      <c r="Q164" s="19">
        <f t="shared" si="6"/>
        <v>443737</v>
      </c>
      <c r="R164" s="19"/>
      <c r="S164" s="19">
        <v>36979</v>
      </c>
      <c r="T164" s="19">
        <v>36978</v>
      </c>
      <c r="U164" s="19">
        <v>36978</v>
      </c>
      <c r="V164" s="19">
        <v>36978</v>
      </c>
      <c r="W164" s="19">
        <v>36978</v>
      </c>
      <c r="X164" s="19">
        <v>36978</v>
      </c>
      <c r="Y164" s="19">
        <v>36978</v>
      </c>
      <c r="Z164" s="19">
        <v>36978</v>
      </c>
      <c r="AA164" s="19">
        <v>36978</v>
      </c>
      <c r="AB164" s="19">
        <v>36978</v>
      </c>
      <c r="AC164" s="19">
        <v>73956</v>
      </c>
    </row>
    <row r="165" spans="1:29" s="4" customFormat="1" ht="30" customHeight="1" x14ac:dyDescent="0.3">
      <c r="A165" s="20" t="s">
        <v>246</v>
      </c>
      <c r="B165" s="20" t="s">
        <v>247</v>
      </c>
      <c r="C165" s="21" t="s">
        <v>69</v>
      </c>
      <c r="D165" s="21" t="s">
        <v>70</v>
      </c>
      <c r="E165" s="22" t="s">
        <v>69</v>
      </c>
      <c r="F165" s="24" t="s">
        <v>72</v>
      </c>
      <c r="G165" s="24">
        <v>35101</v>
      </c>
      <c r="H165" s="24" t="s">
        <v>229</v>
      </c>
      <c r="I165" s="40"/>
      <c r="J165" s="24" t="s">
        <v>195</v>
      </c>
      <c r="K165" s="13" t="s">
        <v>32</v>
      </c>
      <c r="L165" s="29" t="s">
        <v>32</v>
      </c>
      <c r="M165" s="41" t="s">
        <v>54</v>
      </c>
      <c r="N165" s="24">
        <v>1</v>
      </c>
      <c r="O165" s="30">
        <v>122513</v>
      </c>
      <c r="P165" s="13" t="s">
        <v>60</v>
      </c>
      <c r="Q165" s="19">
        <f t="shared" si="6"/>
        <v>122513</v>
      </c>
      <c r="R165" s="19"/>
      <c r="S165" s="19"/>
      <c r="T165" s="19">
        <v>122513</v>
      </c>
      <c r="U165" s="19"/>
      <c r="V165" s="19"/>
      <c r="W165" s="19"/>
      <c r="X165" s="19"/>
      <c r="Y165" s="19"/>
      <c r="Z165" s="19"/>
      <c r="AA165" s="19"/>
      <c r="AB165" s="19"/>
      <c r="AC165" s="19"/>
    </row>
    <row r="166" spans="1:29" s="4" customFormat="1" ht="30" customHeight="1" x14ac:dyDescent="0.3">
      <c r="A166" s="20" t="s">
        <v>246</v>
      </c>
      <c r="B166" s="20" t="s">
        <v>247</v>
      </c>
      <c r="C166" s="21" t="s">
        <v>69</v>
      </c>
      <c r="D166" s="21" t="s">
        <v>70</v>
      </c>
      <c r="E166" s="22" t="s">
        <v>69</v>
      </c>
      <c r="F166" s="24" t="s">
        <v>72</v>
      </c>
      <c r="G166" s="24">
        <v>35701</v>
      </c>
      <c r="H166" s="24" t="s">
        <v>231</v>
      </c>
      <c r="I166" s="40"/>
      <c r="J166" s="24" t="s">
        <v>197</v>
      </c>
      <c r="K166" s="13" t="s">
        <v>32</v>
      </c>
      <c r="L166" s="29" t="s">
        <v>32</v>
      </c>
      <c r="M166" s="41" t="s">
        <v>54</v>
      </c>
      <c r="N166" s="24">
        <v>1</v>
      </c>
      <c r="O166" s="30">
        <v>132009</v>
      </c>
      <c r="P166" s="13" t="s">
        <v>60</v>
      </c>
      <c r="Q166" s="19">
        <f t="shared" si="6"/>
        <v>132009</v>
      </c>
      <c r="R166" s="19"/>
      <c r="S166" s="19">
        <v>5000</v>
      </c>
      <c r="T166" s="19">
        <v>77009</v>
      </c>
      <c r="U166" s="19">
        <v>5000</v>
      </c>
      <c r="V166" s="19">
        <v>5000</v>
      </c>
      <c r="W166" s="19">
        <v>5000</v>
      </c>
      <c r="X166" s="19">
        <v>5000</v>
      </c>
      <c r="Y166" s="19">
        <v>5000</v>
      </c>
      <c r="Z166" s="19">
        <v>5000</v>
      </c>
      <c r="AA166" s="19">
        <v>5000</v>
      </c>
      <c r="AB166" s="19">
        <v>5000</v>
      </c>
      <c r="AC166" s="19">
        <v>10000</v>
      </c>
    </row>
    <row r="167" spans="1:29" s="4" customFormat="1" ht="30" customHeight="1" x14ac:dyDescent="0.3">
      <c r="A167" s="20" t="s">
        <v>246</v>
      </c>
      <c r="B167" s="20" t="s">
        <v>247</v>
      </c>
      <c r="C167" s="21" t="s">
        <v>69</v>
      </c>
      <c r="D167" s="21" t="s">
        <v>70</v>
      </c>
      <c r="E167" s="22" t="s">
        <v>69</v>
      </c>
      <c r="F167" s="24" t="s">
        <v>72</v>
      </c>
      <c r="G167" s="24">
        <v>35801</v>
      </c>
      <c r="H167" s="24" t="s">
        <v>240</v>
      </c>
      <c r="I167" s="40"/>
      <c r="J167" s="24" t="s">
        <v>206</v>
      </c>
      <c r="K167" s="13" t="s">
        <v>32</v>
      </c>
      <c r="L167" s="29" t="s">
        <v>32</v>
      </c>
      <c r="M167" s="41" t="s">
        <v>54</v>
      </c>
      <c r="N167" s="24">
        <v>12</v>
      </c>
      <c r="O167" s="30">
        <v>35062</v>
      </c>
      <c r="P167" s="13" t="s">
        <v>88</v>
      </c>
      <c r="Q167" s="19">
        <f t="shared" si="6"/>
        <v>428995</v>
      </c>
      <c r="R167" s="19"/>
      <c r="S167" s="19">
        <v>35062</v>
      </c>
      <c r="T167" s="19">
        <v>35062</v>
      </c>
      <c r="U167" s="19">
        <v>39188</v>
      </c>
      <c r="V167" s="19">
        <v>35062</v>
      </c>
      <c r="W167" s="19">
        <v>35062</v>
      </c>
      <c r="X167" s="19">
        <v>35062</v>
      </c>
      <c r="Y167" s="19">
        <v>35062</v>
      </c>
      <c r="Z167" s="19">
        <v>39186</v>
      </c>
      <c r="AA167" s="19">
        <v>35062</v>
      </c>
      <c r="AB167" s="19">
        <v>35062</v>
      </c>
      <c r="AC167" s="19">
        <v>70125</v>
      </c>
    </row>
    <row r="168" spans="1:29" s="4" customFormat="1" ht="30" customHeight="1" x14ac:dyDescent="0.3">
      <c r="A168" s="20" t="s">
        <v>246</v>
      </c>
      <c r="B168" s="20" t="s">
        <v>247</v>
      </c>
      <c r="C168" s="21" t="s">
        <v>69</v>
      </c>
      <c r="D168" s="21" t="s">
        <v>70</v>
      </c>
      <c r="E168" s="22" t="s">
        <v>69</v>
      </c>
      <c r="F168" s="24" t="s">
        <v>72</v>
      </c>
      <c r="G168" s="24">
        <v>35901</v>
      </c>
      <c r="H168" s="24" t="s">
        <v>241</v>
      </c>
      <c r="I168" s="40"/>
      <c r="J168" s="24" t="s">
        <v>207</v>
      </c>
      <c r="K168" s="13" t="s">
        <v>32</v>
      </c>
      <c r="L168" s="29" t="s">
        <v>32</v>
      </c>
      <c r="M168" s="41" t="s">
        <v>54</v>
      </c>
      <c r="N168" s="24">
        <v>12</v>
      </c>
      <c r="O168" s="30">
        <f>Q168/12</f>
        <v>2061.5</v>
      </c>
      <c r="P168" s="13" t="s">
        <v>60</v>
      </c>
      <c r="Q168" s="19">
        <f t="shared" si="6"/>
        <v>24738</v>
      </c>
      <c r="R168" s="19"/>
      <c r="S168" s="19">
        <v>1123</v>
      </c>
      <c r="T168" s="19">
        <v>6000</v>
      </c>
      <c r="U168" s="19">
        <v>1123</v>
      </c>
      <c r="V168" s="19"/>
      <c r="W168" s="19">
        <v>1123</v>
      </c>
      <c r="X168" s="19">
        <v>6000</v>
      </c>
      <c r="Y168" s="19">
        <v>1123</v>
      </c>
      <c r="Z168" s="19"/>
      <c r="AA168" s="19">
        <v>1123</v>
      </c>
      <c r="AB168" s="19">
        <v>6000</v>
      </c>
      <c r="AC168" s="19">
        <v>1123</v>
      </c>
    </row>
    <row r="169" spans="1:29" s="4" customFormat="1" ht="30" customHeight="1" x14ac:dyDescent="0.3">
      <c r="A169" s="20" t="s">
        <v>246</v>
      </c>
      <c r="B169" s="20" t="s">
        <v>247</v>
      </c>
      <c r="C169" s="40" t="s">
        <v>69</v>
      </c>
      <c r="D169" s="7" t="s">
        <v>74</v>
      </c>
      <c r="E169" s="42">
        <v>45</v>
      </c>
      <c r="F169" s="24" t="s">
        <v>75</v>
      </c>
      <c r="G169" s="24">
        <v>27101</v>
      </c>
      <c r="H169" s="24" t="s">
        <v>242</v>
      </c>
      <c r="I169" s="40"/>
      <c r="J169" s="24" t="s">
        <v>208</v>
      </c>
      <c r="K169" s="13" t="s">
        <v>32</v>
      </c>
      <c r="L169" s="29" t="s">
        <v>32</v>
      </c>
      <c r="M169" s="41" t="s">
        <v>55</v>
      </c>
      <c r="N169" s="24">
        <v>1</v>
      </c>
      <c r="O169" s="30">
        <f>6524.14*1.16</f>
        <v>7568.0024000000003</v>
      </c>
      <c r="P169" s="13" t="s">
        <v>60</v>
      </c>
      <c r="Q169" s="19">
        <f t="shared" si="6"/>
        <v>7568</v>
      </c>
      <c r="R169" s="19"/>
      <c r="S169" s="19"/>
      <c r="T169" s="19"/>
      <c r="U169" s="19"/>
      <c r="V169" s="19">
        <v>7568</v>
      </c>
      <c r="W169" s="19"/>
      <c r="X169" s="19"/>
      <c r="Y169" s="19"/>
      <c r="Z169" s="19"/>
      <c r="AA169" s="19"/>
      <c r="AB169" s="19"/>
      <c r="AC169" s="19"/>
    </row>
    <row r="170" spans="1:29" s="4" customFormat="1" ht="30" customHeight="1" x14ac:dyDescent="0.3">
      <c r="A170" s="20" t="s">
        <v>246</v>
      </c>
      <c r="B170" s="20" t="s">
        <v>247</v>
      </c>
      <c r="C170" s="40" t="s">
        <v>69</v>
      </c>
      <c r="D170" s="7" t="s">
        <v>74</v>
      </c>
      <c r="E170" s="42">
        <v>45</v>
      </c>
      <c r="F170" s="24" t="s">
        <v>75</v>
      </c>
      <c r="G170" s="24">
        <v>37901</v>
      </c>
      <c r="H170" s="24" t="s">
        <v>243</v>
      </c>
      <c r="I170" s="40"/>
      <c r="J170" s="24" t="s">
        <v>209</v>
      </c>
      <c r="K170" s="13" t="s">
        <v>32</v>
      </c>
      <c r="L170" s="29" t="s">
        <v>32</v>
      </c>
      <c r="M170" s="41" t="s">
        <v>55</v>
      </c>
      <c r="N170" s="24">
        <v>3</v>
      </c>
      <c r="O170" s="30">
        <v>270</v>
      </c>
      <c r="P170" s="13" t="s">
        <v>60</v>
      </c>
      <c r="Q170" s="19">
        <f t="shared" si="6"/>
        <v>810</v>
      </c>
      <c r="R170" s="19"/>
      <c r="S170" s="19"/>
      <c r="T170" s="19"/>
      <c r="U170" s="19"/>
      <c r="V170" s="19"/>
      <c r="W170" s="19"/>
      <c r="X170" s="19"/>
      <c r="Y170" s="19"/>
      <c r="Z170" s="19">
        <v>270</v>
      </c>
      <c r="AA170" s="19">
        <v>270</v>
      </c>
      <c r="AB170" s="19">
        <v>270</v>
      </c>
      <c r="AC170" s="19"/>
    </row>
    <row r="171" spans="1:29" s="4" customFormat="1" ht="30" customHeight="1" x14ac:dyDescent="0.3">
      <c r="A171" s="20" t="s">
        <v>246</v>
      </c>
      <c r="B171" s="20" t="s">
        <v>247</v>
      </c>
      <c r="C171" s="40" t="s">
        <v>69</v>
      </c>
      <c r="D171" s="7" t="s">
        <v>74</v>
      </c>
      <c r="E171" s="42">
        <v>45</v>
      </c>
      <c r="F171" s="24" t="s">
        <v>245</v>
      </c>
      <c r="G171" s="24">
        <v>22103</v>
      </c>
      <c r="H171" s="24" t="s">
        <v>215</v>
      </c>
      <c r="I171" s="44" t="s">
        <v>353</v>
      </c>
      <c r="J171" s="24" t="s">
        <v>167</v>
      </c>
      <c r="K171" s="13" t="s">
        <v>32</v>
      </c>
      <c r="L171" s="29" t="s">
        <v>32</v>
      </c>
      <c r="M171" s="41" t="s">
        <v>79</v>
      </c>
      <c r="N171" s="24">
        <v>12</v>
      </c>
      <c r="O171" s="30">
        <v>500</v>
      </c>
      <c r="P171" s="13" t="s">
        <v>60</v>
      </c>
      <c r="Q171" s="19">
        <f t="shared" si="6"/>
        <v>6000</v>
      </c>
      <c r="R171" s="19">
        <v>500</v>
      </c>
      <c r="S171" s="19">
        <v>500</v>
      </c>
      <c r="T171" s="19">
        <v>500</v>
      </c>
      <c r="U171" s="19">
        <v>500</v>
      </c>
      <c r="V171" s="19">
        <v>500</v>
      </c>
      <c r="W171" s="19">
        <v>500</v>
      </c>
      <c r="X171" s="19">
        <v>500</v>
      </c>
      <c r="Y171" s="19">
        <v>500</v>
      </c>
      <c r="Z171" s="19">
        <v>500</v>
      </c>
      <c r="AA171" s="19">
        <v>500</v>
      </c>
      <c r="AB171" s="19">
        <v>1000</v>
      </c>
      <c r="AC171" s="19"/>
    </row>
    <row r="172" spans="1:29" s="4" customFormat="1" ht="30" customHeight="1" x14ac:dyDescent="0.3">
      <c r="A172" s="20" t="s">
        <v>246</v>
      </c>
      <c r="B172" s="20" t="s">
        <v>247</v>
      </c>
      <c r="C172" s="40" t="s">
        <v>69</v>
      </c>
      <c r="D172" s="7" t="s">
        <v>74</v>
      </c>
      <c r="E172" s="42">
        <v>45</v>
      </c>
      <c r="F172" s="24" t="s">
        <v>245</v>
      </c>
      <c r="G172" s="24">
        <v>22104</v>
      </c>
      <c r="H172" s="24" t="s">
        <v>216</v>
      </c>
      <c r="I172" s="44" t="s">
        <v>375</v>
      </c>
      <c r="J172" s="24" t="s">
        <v>169</v>
      </c>
      <c r="K172" s="13" t="s">
        <v>32</v>
      </c>
      <c r="L172" s="29" t="s">
        <v>32</v>
      </c>
      <c r="M172" s="41" t="s">
        <v>54</v>
      </c>
      <c r="N172" s="25">
        <v>58</v>
      </c>
      <c r="O172" s="30">
        <f>Q172/N172</f>
        <v>34.482758620689658</v>
      </c>
      <c r="P172" s="13" t="s">
        <v>60</v>
      </c>
      <c r="Q172" s="19">
        <f t="shared" si="6"/>
        <v>2000</v>
      </c>
      <c r="R172" s="19"/>
      <c r="S172" s="19"/>
      <c r="T172" s="19">
        <v>500</v>
      </c>
      <c r="U172" s="19"/>
      <c r="V172" s="19"/>
      <c r="W172" s="19">
        <v>500</v>
      </c>
      <c r="X172" s="19"/>
      <c r="Y172" s="19"/>
      <c r="Z172" s="19">
        <v>500</v>
      </c>
      <c r="AA172" s="19"/>
      <c r="AB172" s="19"/>
      <c r="AC172" s="19">
        <v>500</v>
      </c>
    </row>
    <row r="173" spans="1:29" s="4" customFormat="1" ht="30" customHeight="1" x14ac:dyDescent="0.3">
      <c r="A173" s="20" t="s">
        <v>246</v>
      </c>
      <c r="B173" s="20" t="s">
        <v>247</v>
      </c>
      <c r="C173" s="40" t="s">
        <v>69</v>
      </c>
      <c r="D173" s="7" t="s">
        <v>74</v>
      </c>
      <c r="E173" s="42">
        <v>45</v>
      </c>
      <c r="F173" s="24" t="s">
        <v>245</v>
      </c>
      <c r="G173" s="24">
        <v>26102</v>
      </c>
      <c r="H173" s="24" t="s">
        <v>221</v>
      </c>
      <c r="I173" s="44" t="s">
        <v>313</v>
      </c>
      <c r="J173" s="24" t="s">
        <v>186</v>
      </c>
      <c r="K173" s="13" t="s">
        <v>32</v>
      </c>
      <c r="L173" s="29" t="s">
        <v>32</v>
      </c>
      <c r="M173" s="31" t="s">
        <v>68</v>
      </c>
      <c r="N173" s="24">
        <v>12</v>
      </c>
      <c r="O173" s="43">
        <v>1000</v>
      </c>
      <c r="P173" s="13" t="s">
        <v>60</v>
      </c>
      <c r="Q173" s="19">
        <f t="shared" si="6"/>
        <v>12000</v>
      </c>
      <c r="R173" s="19">
        <v>1000</v>
      </c>
      <c r="S173" s="19">
        <v>1000</v>
      </c>
      <c r="T173" s="19">
        <v>1000</v>
      </c>
      <c r="U173" s="19">
        <v>1000</v>
      </c>
      <c r="V173" s="19">
        <v>1000</v>
      </c>
      <c r="W173" s="19">
        <v>1000</v>
      </c>
      <c r="X173" s="19">
        <v>1000</v>
      </c>
      <c r="Y173" s="19">
        <v>1000</v>
      </c>
      <c r="Z173" s="19">
        <v>1000</v>
      </c>
      <c r="AA173" s="19">
        <v>1000</v>
      </c>
      <c r="AB173" s="19">
        <v>2000</v>
      </c>
      <c r="AC173" s="19"/>
    </row>
    <row r="174" spans="1:29" s="4" customFormat="1" ht="30" customHeight="1" x14ac:dyDescent="0.3">
      <c r="A174" s="20" t="s">
        <v>246</v>
      </c>
      <c r="B174" s="20" t="s">
        <v>247</v>
      </c>
      <c r="C174" s="40" t="s">
        <v>69</v>
      </c>
      <c r="D174" s="7" t="s">
        <v>74</v>
      </c>
      <c r="E174" s="42">
        <v>88</v>
      </c>
      <c r="F174" s="24" t="s">
        <v>80</v>
      </c>
      <c r="G174" s="24">
        <v>26102</v>
      </c>
      <c r="H174" s="24" t="s">
        <v>221</v>
      </c>
      <c r="I174" s="44" t="s">
        <v>313</v>
      </c>
      <c r="J174" s="24" t="s">
        <v>186</v>
      </c>
      <c r="K174" s="13" t="s">
        <v>32</v>
      </c>
      <c r="L174" s="29" t="s">
        <v>32</v>
      </c>
      <c r="M174" s="31" t="s">
        <v>68</v>
      </c>
      <c r="N174" s="24">
        <v>12</v>
      </c>
      <c r="O174" s="43">
        <v>1000</v>
      </c>
      <c r="P174" s="13" t="s">
        <v>88</v>
      </c>
      <c r="Q174" s="19">
        <f t="shared" si="6"/>
        <v>12000</v>
      </c>
      <c r="R174" s="19">
        <v>1000</v>
      </c>
      <c r="S174" s="19">
        <v>1000</v>
      </c>
      <c r="T174" s="19">
        <v>1000</v>
      </c>
      <c r="U174" s="19">
        <v>1000</v>
      </c>
      <c r="V174" s="19">
        <v>1000</v>
      </c>
      <c r="W174" s="19">
        <v>1000</v>
      </c>
      <c r="X174" s="19">
        <v>1000</v>
      </c>
      <c r="Y174" s="19">
        <v>1000</v>
      </c>
      <c r="Z174" s="19">
        <v>1000</v>
      </c>
      <c r="AA174" s="19">
        <v>1000</v>
      </c>
      <c r="AB174" s="19">
        <v>1000</v>
      </c>
      <c r="AC174" s="19">
        <v>1000</v>
      </c>
    </row>
    <row r="175" spans="1:29" s="4" customFormat="1" ht="30" customHeight="1" x14ac:dyDescent="0.3">
      <c r="A175" s="20" t="s">
        <v>246</v>
      </c>
      <c r="B175" s="20" t="s">
        <v>247</v>
      </c>
      <c r="C175" s="40" t="s">
        <v>69</v>
      </c>
      <c r="D175" s="7" t="s">
        <v>74</v>
      </c>
      <c r="E175" s="42">
        <v>88</v>
      </c>
      <c r="F175" s="24" t="s">
        <v>87</v>
      </c>
      <c r="G175" s="23">
        <v>21101</v>
      </c>
      <c r="H175" s="24" t="s">
        <v>211</v>
      </c>
      <c r="I175" s="44" t="s">
        <v>266</v>
      </c>
      <c r="J175" s="25" t="s">
        <v>105</v>
      </c>
      <c r="K175" s="13" t="s">
        <v>32</v>
      </c>
      <c r="L175" s="29" t="s">
        <v>32</v>
      </c>
      <c r="M175" s="41" t="s">
        <v>54</v>
      </c>
      <c r="N175" s="24">
        <v>18</v>
      </c>
      <c r="O175" s="43">
        <f>Q175/18</f>
        <v>111.11111111111111</v>
      </c>
      <c r="P175" s="13" t="s">
        <v>60</v>
      </c>
      <c r="Q175" s="19">
        <f t="shared" si="6"/>
        <v>2000</v>
      </c>
      <c r="R175" s="19"/>
      <c r="S175" s="19"/>
      <c r="T175" s="19"/>
      <c r="U175" s="19"/>
      <c r="V175" s="19">
        <v>1500</v>
      </c>
      <c r="W175" s="19"/>
      <c r="X175" s="19"/>
      <c r="Y175" s="19"/>
      <c r="Z175" s="19"/>
      <c r="AA175" s="19"/>
      <c r="AB175" s="19">
        <v>500</v>
      </c>
      <c r="AC175" s="19"/>
    </row>
    <row r="176" spans="1:29" s="4" customFormat="1" ht="30" customHeight="1" x14ac:dyDescent="0.3">
      <c r="A176" s="20" t="s">
        <v>246</v>
      </c>
      <c r="B176" s="20" t="s">
        <v>247</v>
      </c>
      <c r="C176" s="40" t="s">
        <v>69</v>
      </c>
      <c r="D176" s="7" t="s">
        <v>74</v>
      </c>
      <c r="E176" s="42">
        <v>88</v>
      </c>
      <c r="F176" s="24" t="s">
        <v>87</v>
      </c>
      <c r="G176" s="24">
        <v>21401</v>
      </c>
      <c r="H176" s="24" t="s">
        <v>213</v>
      </c>
      <c r="I176" s="44" t="s">
        <v>343</v>
      </c>
      <c r="J176" s="28" t="s">
        <v>158</v>
      </c>
      <c r="K176" s="13" t="s">
        <v>32</v>
      </c>
      <c r="L176" s="29" t="s">
        <v>32</v>
      </c>
      <c r="M176" s="41" t="s">
        <v>62</v>
      </c>
      <c r="N176" s="24">
        <v>15</v>
      </c>
      <c r="O176" s="43">
        <f>Q176/N176</f>
        <v>23.066666666666666</v>
      </c>
      <c r="P176" s="13" t="s">
        <v>60</v>
      </c>
      <c r="Q176" s="19">
        <f t="shared" si="6"/>
        <v>346</v>
      </c>
      <c r="R176" s="19"/>
      <c r="S176" s="19"/>
      <c r="T176" s="19"/>
      <c r="U176" s="19"/>
      <c r="V176" s="19"/>
      <c r="W176" s="19"/>
      <c r="X176" s="19">
        <v>346</v>
      </c>
      <c r="Y176" s="19"/>
      <c r="Z176" s="19"/>
      <c r="AA176" s="19"/>
      <c r="AB176" s="19"/>
      <c r="AC176" s="19"/>
    </row>
    <row r="177" spans="1:32" s="4" customFormat="1" ht="30" customHeight="1" x14ac:dyDescent="0.3">
      <c r="A177" s="20" t="s">
        <v>246</v>
      </c>
      <c r="B177" s="20" t="s">
        <v>247</v>
      </c>
      <c r="C177" s="40" t="s">
        <v>69</v>
      </c>
      <c r="D177" s="7" t="s">
        <v>74</v>
      </c>
      <c r="E177" s="42">
        <v>88</v>
      </c>
      <c r="F177" s="24" t="s">
        <v>87</v>
      </c>
      <c r="G177" s="24">
        <v>21601</v>
      </c>
      <c r="H177" s="24" t="s">
        <v>212</v>
      </c>
      <c r="I177" s="44" t="s">
        <v>336</v>
      </c>
      <c r="J177" s="24" t="s">
        <v>151</v>
      </c>
      <c r="K177" s="13" t="s">
        <v>32</v>
      </c>
      <c r="L177" s="29" t="s">
        <v>32</v>
      </c>
      <c r="M177" s="41" t="s">
        <v>54</v>
      </c>
      <c r="N177" s="24">
        <v>81</v>
      </c>
      <c r="O177" s="43">
        <f>Q177/N177</f>
        <v>37.037037037037038</v>
      </c>
      <c r="P177" s="13" t="s">
        <v>60</v>
      </c>
      <c r="Q177" s="19">
        <f t="shared" si="6"/>
        <v>3000</v>
      </c>
      <c r="R177" s="19"/>
      <c r="S177" s="19"/>
      <c r="T177" s="19">
        <v>1500</v>
      </c>
      <c r="U177" s="19"/>
      <c r="V177" s="19">
        <v>1500</v>
      </c>
      <c r="W177" s="19"/>
      <c r="X177" s="19"/>
      <c r="Y177" s="19"/>
      <c r="Z177" s="19"/>
      <c r="AA177" s="19"/>
      <c r="AB177" s="19"/>
      <c r="AC177" s="19"/>
    </row>
    <row r="178" spans="1:32" s="4" customFormat="1" ht="30" customHeight="1" x14ac:dyDescent="0.3">
      <c r="A178" s="20" t="s">
        <v>246</v>
      </c>
      <c r="B178" s="20" t="s">
        <v>247</v>
      </c>
      <c r="C178" s="40" t="s">
        <v>69</v>
      </c>
      <c r="D178" s="7" t="s">
        <v>74</v>
      </c>
      <c r="E178" s="42">
        <v>88</v>
      </c>
      <c r="F178" s="24" t="s">
        <v>87</v>
      </c>
      <c r="G178" s="24">
        <v>24601</v>
      </c>
      <c r="H178" s="24" t="s">
        <v>217</v>
      </c>
      <c r="I178" s="44" t="s">
        <v>357</v>
      </c>
      <c r="J178" s="24" t="s">
        <v>172</v>
      </c>
      <c r="K178" s="13" t="s">
        <v>32</v>
      </c>
      <c r="L178" s="29" t="s">
        <v>32</v>
      </c>
      <c r="M178" s="41" t="s">
        <v>54</v>
      </c>
      <c r="N178" s="24">
        <v>11</v>
      </c>
      <c r="O178" s="43">
        <f>Q178/N178</f>
        <v>181.81818181818181</v>
      </c>
      <c r="P178" s="13" t="s">
        <v>60</v>
      </c>
      <c r="Q178" s="19">
        <f t="shared" si="6"/>
        <v>2000</v>
      </c>
      <c r="R178" s="19"/>
      <c r="S178" s="19"/>
      <c r="T178" s="19"/>
      <c r="U178" s="19"/>
      <c r="V178" s="19"/>
      <c r="W178" s="19"/>
      <c r="X178" s="19">
        <v>1000</v>
      </c>
      <c r="Y178" s="19"/>
      <c r="Z178" s="19"/>
      <c r="AA178" s="19"/>
      <c r="AB178" s="19">
        <v>1000</v>
      </c>
      <c r="AC178" s="19"/>
    </row>
    <row r="179" spans="1:32" s="4" customFormat="1" ht="30" customHeight="1" x14ac:dyDescent="0.3">
      <c r="A179" s="20" t="s">
        <v>246</v>
      </c>
      <c r="B179" s="20" t="s">
        <v>247</v>
      </c>
      <c r="C179" s="40" t="s">
        <v>69</v>
      </c>
      <c r="D179" s="7" t="s">
        <v>74</v>
      </c>
      <c r="E179" s="42">
        <v>88</v>
      </c>
      <c r="F179" s="24" t="s">
        <v>87</v>
      </c>
      <c r="G179" s="24">
        <v>25401</v>
      </c>
      <c r="H179" s="24" t="s">
        <v>220</v>
      </c>
      <c r="I179" s="44" t="s">
        <v>368</v>
      </c>
      <c r="J179" s="24" t="s">
        <v>184</v>
      </c>
      <c r="K179" s="13" t="s">
        <v>32</v>
      </c>
      <c r="L179" s="29" t="s">
        <v>32</v>
      </c>
      <c r="M179" s="41" t="s">
        <v>54</v>
      </c>
      <c r="N179" s="24">
        <v>60</v>
      </c>
      <c r="O179" s="43">
        <f>Q179/N179</f>
        <v>68.333333333333329</v>
      </c>
      <c r="P179" s="13" t="s">
        <v>60</v>
      </c>
      <c r="Q179" s="19">
        <f t="shared" si="6"/>
        <v>4100</v>
      </c>
      <c r="R179" s="19"/>
      <c r="S179" s="19"/>
      <c r="T179" s="19"/>
      <c r="U179" s="19"/>
      <c r="V179" s="19">
        <v>2600</v>
      </c>
      <c r="W179" s="19"/>
      <c r="X179" s="19">
        <v>1500</v>
      </c>
      <c r="Y179" s="19"/>
      <c r="Z179" s="19"/>
      <c r="AA179" s="19"/>
      <c r="AB179" s="19"/>
      <c r="AC179" s="19"/>
    </row>
    <row r="180" spans="1:32" s="4" customFormat="1" ht="30" customHeight="1" x14ac:dyDescent="0.3">
      <c r="A180" s="20" t="s">
        <v>246</v>
      </c>
      <c r="B180" s="20" t="s">
        <v>247</v>
      </c>
      <c r="C180" s="40" t="s">
        <v>69</v>
      </c>
      <c r="D180" s="7" t="s">
        <v>74</v>
      </c>
      <c r="E180" s="42">
        <v>88</v>
      </c>
      <c r="F180" s="24" t="s">
        <v>87</v>
      </c>
      <c r="G180" s="24">
        <v>26102</v>
      </c>
      <c r="H180" s="24" t="s">
        <v>221</v>
      </c>
      <c r="I180" s="44" t="s">
        <v>313</v>
      </c>
      <c r="J180" s="24" t="s">
        <v>186</v>
      </c>
      <c r="K180" s="13" t="s">
        <v>32</v>
      </c>
      <c r="L180" s="29" t="s">
        <v>32</v>
      </c>
      <c r="M180" s="41" t="s">
        <v>54</v>
      </c>
      <c r="N180" s="24">
        <v>12</v>
      </c>
      <c r="O180" s="43">
        <f>Q180/N180</f>
        <v>2500</v>
      </c>
      <c r="P180" s="13" t="s">
        <v>88</v>
      </c>
      <c r="Q180" s="19">
        <f t="shared" si="6"/>
        <v>30000</v>
      </c>
      <c r="R180" s="19">
        <v>2500</v>
      </c>
      <c r="S180" s="19">
        <v>2500</v>
      </c>
      <c r="T180" s="19">
        <v>2500</v>
      </c>
      <c r="U180" s="19">
        <v>2500</v>
      </c>
      <c r="V180" s="19">
        <v>2500</v>
      </c>
      <c r="W180" s="19">
        <v>2500</v>
      </c>
      <c r="X180" s="19">
        <v>2500</v>
      </c>
      <c r="Y180" s="19">
        <v>2500</v>
      </c>
      <c r="Z180" s="19">
        <v>2500</v>
      </c>
      <c r="AA180" s="19">
        <v>2500</v>
      </c>
      <c r="AB180" s="19">
        <v>5000</v>
      </c>
      <c r="AC180" s="19"/>
    </row>
    <row r="181" spans="1:32" s="4" customFormat="1" ht="30" customHeight="1" x14ac:dyDescent="0.3">
      <c r="A181" s="20" t="s">
        <v>246</v>
      </c>
      <c r="B181" s="20" t="s">
        <v>247</v>
      </c>
      <c r="C181" s="40" t="s">
        <v>69</v>
      </c>
      <c r="D181" s="7" t="s">
        <v>74</v>
      </c>
      <c r="E181" s="42">
        <v>88</v>
      </c>
      <c r="F181" s="24" t="s">
        <v>87</v>
      </c>
      <c r="G181" s="24">
        <v>27101</v>
      </c>
      <c r="H181" s="24" t="s">
        <v>242</v>
      </c>
      <c r="I181" s="44" t="s">
        <v>374</v>
      </c>
      <c r="J181" s="24" t="s">
        <v>208</v>
      </c>
      <c r="K181" s="13" t="s">
        <v>32</v>
      </c>
      <c r="L181" s="29" t="s">
        <v>32</v>
      </c>
      <c r="M181" s="41" t="s">
        <v>54</v>
      </c>
      <c r="N181" s="24">
        <v>1</v>
      </c>
      <c r="O181" s="43">
        <v>365364</v>
      </c>
      <c r="P181" s="13" t="s">
        <v>60</v>
      </c>
      <c r="Q181" s="19">
        <f t="shared" si="6"/>
        <v>365364</v>
      </c>
      <c r="R181" s="19"/>
      <c r="S181" s="19"/>
      <c r="T181" s="19">
        <v>365364</v>
      </c>
      <c r="U181" s="19"/>
      <c r="V181" s="19"/>
      <c r="W181" s="19"/>
      <c r="X181" s="19"/>
      <c r="Y181" s="19"/>
      <c r="Z181" s="19"/>
      <c r="AA181" s="19"/>
      <c r="AB181" s="19"/>
      <c r="AC181" s="19"/>
    </row>
    <row r="182" spans="1:32" s="4" customFormat="1" ht="30" customHeight="1" x14ac:dyDescent="0.3">
      <c r="A182" s="20" t="s">
        <v>246</v>
      </c>
      <c r="B182" s="20" t="s">
        <v>247</v>
      </c>
      <c r="C182" s="40" t="s">
        <v>69</v>
      </c>
      <c r="D182" s="7" t="s">
        <v>74</v>
      </c>
      <c r="E182" s="42">
        <v>88</v>
      </c>
      <c r="F182" s="24" t="s">
        <v>87</v>
      </c>
      <c r="G182" s="24">
        <v>29401</v>
      </c>
      <c r="H182" s="24" t="s">
        <v>244</v>
      </c>
      <c r="I182" s="44" t="s">
        <v>373</v>
      </c>
      <c r="J182" s="24" t="s">
        <v>210</v>
      </c>
      <c r="K182" s="13" t="s">
        <v>32</v>
      </c>
      <c r="L182" s="29" t="s">
        <v>32</v>
      </c>
      <c r="M182" s="41" t="s">
        <v>54</v>
      </c>
      <c r="N182" s="24">
        <v>20</v>
      </c>
      <c r="O182" s="43">
        <f>2500/20</f>
        <v>125</v>
      </c>
      <c r="P182" s="13" t="s">
        <v>60</v>
      </c>
      <c r="Q182" s="19">
        <f t="shared" si="6"/>
        <v>2500</v>
      </c>
      <c r="R182" s="19"/>
      <c r="S182" s="19"/>
      <c r="T182" s="19"/>
      <c r="U182" s="19"/>
      <c r="V182" s="19"/>
      <c r="W182" s="19"/>
      <c r="X182" s="19">
        <v>1250</v>
      </c>
      <c r="Y182" s="19"/>
      <c r="Z182" s="19"/>
      <c r="AA182" s="19"/>
      <c r="AB182" s="19">
        <v>1250</v>
      </c>
      <c r="AC182" s="19"/>
    </row>
    <row r="183" spans="1:32" s="4" customFormat="1" ht="30" customHeight="1" x14ac:dyDescent="0.3">
      <c r="A183" s="20" t="s">
        <v>246</v>
      </c>
      <c r="B183" s="20" t="s">
        <v>247</v>
      </c>
      <c r="C183" s="40" t="s">
        <v>69</v>
      </c>
      <c r="D183" s="7" t="s">
        <v>74</v>
      </c>
      <c r="E183" s="42">
        <v>88</v>
      </c>
      <c r="F183" s="24" t="s">
        <v>87</v>
      </c>
      <c r="G183" s="24">
        <v>37901</v>
      </c>
      <c r="H183" s="24" t="s">
        <v>243</v>
      </c>
      <c r="I183" s="40"/>
      <c r="J183" s="24" t="s">
        <v>209</v>
      </c>
      <c r="K183" s="13" t="s">
        <v>32</v>
      </c>
      <c r="L183" s="29" t="s">
        <v>32</v>
      </c>
      <c r="M183" s="41" t="s">
        <v>54</v>
      </c>
      <c r="N183" s="24">
        <v>12</v>
      </c>
      <c r="O183" s="43">
        <v>4050</v>
      </c>
      <c r="P183" s="13" t="s">
        <v>60</v>
      </c>
      <c r="Q183" s="19">
        <f t="shared" si="6"/>
        <v>48600</v>
      </c>
      <c r="R183" s="19">
        <v>4050</v>
      </c>
      <c r="S183" s="19">
        <v>4050</v>
      </c>
      <c r="T183" s="19">
        <v>4050</v>
      </c>
      <c r="U183" s="19">
        <v>4050</v>
      </c>
      <c r="V183" s="19">
        <v>4050</v>
      </c>
      <c r="W183" s="19">
        <v>4050</v>
      </c>
      <c r="X183" s="19">
        <v>4050</v>
      </c>
      <c r="Y183" s="19">
        <v>4050</v>
      </c>
      <c r="Z183" s="19">
        <v>4050</v>
      </c>
      <c r="AA183" s="19">
        <v>4050</v>
      </c>
      <c r="AB183" s="19">
        <v>4050</v>
      </c>
      <c r="AC183" s="19">
        <v>4050</v>
      </c>
    </row>
    <row r="184" spans="1:32" s="4" customFormat="1" ht="27.6" x14ac:dyDescent="0.3">
      <c r="A184" s="46" t="s">
        <v>377</v>
      </c>
      <c r="B184" s="47" t="s">
        <v>378</v>
      </c>
      <c r="C184" s="35" t="s">
        <v>69</v>
      </c>
      <c r="D184" s="48" t="s">
        <v>70</v>
      </c>
      <c r="E184" s="35" t="s">
        <v>69</v>
      </c>
      <c r="F184" s="48" t="s">
        <v>71</v>
      </c>
      <c r="G184" s="49">
        <v>21101</v>
      </c>
      <c r="H184" s="50" t="s">
        <v>211</v>
      </c>
      <c r="I184" s="51" t="s">
        <v>266</v>
      </c>
      <c r="J184" s="52" t="s">
        <v>105</v>
      </c>
      <c r="K184" s="53" t="s">
        <v>379</v>
      </c>
      <c r="L184" s="54" t="s">
        <v>379</v>
      </c>
      <c r="M184" s="55" t="s">
        <v>56</v>
      </c>
      <c r="N184" s="56">
        <v>112</v>
      </c>
      <c r="O184" s="57">
        <f>123*1.16</f>
        <v>142.67999999999998</v>
      </c>
      <c r="P184" s="58" t="s">
        <v>380</v>
      </c>
      <c r="Q184" s="57">
        <f>SUM(R184:AC184)</f>
        <v>15980.16</v>
      </c>
      <c r="R184" s="59">
        <v>0</v>
      </c>
      <c r="S184" s="59">
        <v>2996.28</v>
      </c>
      <c r="T184" s="59">
        <v>0</v>
      </c>
      <c r="U184" s="59">
        <v>0</v>
      </c>
      <c r="V184" s="59">
        <v>5421.8399999999992</v>
      </c>
      <c r="W184" s="59">
        <v>0</v>
      </c>
      <c r="X184" s="59">
        <v>0</v>
      </c>
      <c r="Y184" s="59">
        <v>5421.8399999999992</v>
      </c>
      <c r="Z184" s="59">
        <v>0</v>
      </c>
      <c r="AA184" s="59">
        <v>2140.1999999999998</v>
      </c>
      <c r="AB184" s="59">
        <v>0</v>
      </c>
      <c r="AC184" s="59">
        <v>0</v>
      </c>
      <c r="AE184" s="60"/>
      <c r="AF184" s="60"/>
    </row>
    <row r="185" spans="1:32" s="4" customFormat="1" ht="27.6" x14ac:dyDescent="0.3">
      <c r="A185" s="46" t="s">
        <v>377</v>
      </c>
      <c r="B185" s="47" t="s">
        <v>378</v>
      </c>
      <c r="C185" s="35" t="s">
        <v>69</v>
      </c>
      <c r="D185" s="48" t="s">
        <v>70</v>
      </c>
      <c r="E185" s="35" t="s">
        <v>69</v>
      </c>
      <c r="F185" s="48" t="s">
        <v>71</v>
      </c>
      <c r="G185" s="49">
        <v>21101</v>
      </c>
      <c r="H185" s="50" t="s">
        <v>211</v>
      </c>
      <c r="I185" s="51" t="s">
        <v>381</v>
      </c>
      <c r="J185" s="52" t="s">
        <v>382</v>
      </c>
      <c r="K185" s="53" t="s">
        <v>379</v>
      </c>
      <c r="L185" s="54" t="s">
        <v>379</v>
      </c>
      <c r="M185" s="55" t="s">
        <v>383</v>
      </c>
      <c r="N185" s="56">
        <v>84</v>
      </c>
      <c r="O185" s="57">
        <f>5.5*1.16</f>
        <v>6.38</v>
      </c>
      <c r="P185" s="58" t="s">
        <v>380</v>
      </c>
      <c r="Q185" s="57">
        <f>SUM(R185:AC185)</f>
        <v>535.92000000000007</v>
      </c>
      <c r="R185" s="59">
        <v>0</v>
      </c>
      <c r="S185" s="59">
        <v>153.12</v>
      </c>
      <c r="T185" s="59">
        <v>0</v>
      </c>
      <c r="U185" s="59">
        <v>0</v>
      </c>
      <c r="V185" s="59">
        <v>153.12</v>
      </c>
      <c r="W185" s="59">
        <v>0</v>
      </c>
      <c r="X185" s="59">
        <v>0</v>
      </c>
      <c r="Y185" s="59">
        <v>153.12</v>
      </c>
      <c r="Z185" s="59">
        <v>0</v>
      </c>
      <c r="AA185" s="59">
        <v>76.56</v>
      </c>
      <c r="AB185" s="59">
        <v>0</v>
      </c>
      <c r="AC185" s="59">
        <v>0</v>
      </c>
      <c r="AE185" s="60"/>
      <c r="AF185" s="60"/>
    </row>
    <row r="186" spans="1:32" s="4" customFormat="1" ht="27.6" x14ac:dyDescent="0.3">
      <c r="A186" s="46" t="s">
        <v>377</v>
      </c>
      <c r="B186" s="47" t="s">
        <v>378</v>
      </c>
      <c r="C186" s="35" t="s">
        <v>69</v>
      </c>
      <c r="D186" s="48" t="s">
        <v>70</v>
      </c>
      <c r="E186" s="35" t="s">
        <v>69</v>
      </c>
      <c r="F186" s="48" t="s">
        <v>71</v>
      </c>
      <c r="G186" s="49">
        <v>21101</v>
      </c>
      <c r="H186" s="50" t="s">
        <v>211</v>
      </c>
      <c r="I186" s="51" t="s">
        <v>384</v>
      </c>
      <c r="J186" s="52" t="s">
        <v>385</v>
      </c>
      <c r="K186" s="53" t="s">
        <v>379</v>
      </c>
      <c r="L186" s="54" t="s">
        <v>379</v>
      </c>
      <c r="M186" s="55" t="s">
        <v>383</v>
      </c>
      <c r="N186" s="56">
        <v>15</v>
      </c>
      <c r="O186" s="57">
        <f>7*1.16</f>
        <v>8.1199999999999992</v>
      </c>
      <c r="P186" s="58" t="s">
        <v>380</v>
      </c>
      <c r="Q186" s="57">
        <f>SUM(R186:AC186)</f>
        <v>121.79999999999998</v>
      </c>
      <c r="R186" s="59">
        <v>0</v>
      </c>
      <c r="S186" s="59">
        <v>81.199999999999989</v>
      </c>
      <c r="T186" s="59">
        <v>0</v>
      </c>
      <c r="U186" s="59">
        <v>0</v>
      </c>
      <c r="V186" s="59">
        <v>0</v>
      </c>
      <c r="W186" s="59">
        <v>0</v>
      </c>
      <c r="X186" s="59">
        <v>0</v>
      </c>
      <c r="Y186" s="59">
        <v>0</v>
      </c>
      <c r="Z186" s="59">
        <v>0</v>
      </c>
      <c r="AA186" s="59">
        <v>40.599999999999994</v>
      </c>
      <c r="AB186" s="59">
        <v>0</v>
      </c>
      <c r="AC186" s="59">
        <v>0</v>
      </c>
      <c r="AE186" s="60"/>
      <c r="AF186" s="60"/>
    </row>
    <row r="187" spans="1:32" s="4" customFormat="1" ht="27.6" x14ac:dyDescent="0.3">
      <c r="A187" s="46" t="s">
        <v>377</v>
      </c>
      <c r="B187" s="47" t="s">
        <v>378</v>
      </c>
      <c r="C187" s="35" t="s">
        <v>69</v>
      </c>
      <c r="D187" s="48" t="s">
        <v>70</v>
      </c>
      <c r="E187" s="35" t="s">
        <v>69</v>
      </c>
      <c r="F187" s="48" t="s">
        <v>71</v>
      </c>
      <c r="G187" s="49">
        <v>21101</v>
      </c>
      <c r="H187" s="50" t="s">
        <v>211</v>
      </c>
      <c r="I187" s="51" t="s">
        <v>386</v>
      </c>
      <c r="J187" s="52" t="s">
        <v>387</v>
      </c>
      <c r="K187" s="53" t="s">
        <v>379</v>
      </c>
      <c r="L187" s="54" t="s">
        <v>379</v>
      </c>
      <c r="M187" s="55" t="s">
        <v>383</v>
      </c>
      <c r="N187" s="56">
        <v>15</v>
      </c>
      <c r="O187" s="57">
        <f>48*1.16</f>
        <v>55.679999999999993</v>
      </c>
      <c r="P187" s="58" t="s">
        <v>380</v>
      </c>
      <c r="Q187" s="57">
        <f>SUM(R187:AC187)</f>
        <v>835.19999999999993</v>
      </c>
      <c r="R187" s="59">
        <v>0</v>
      </c>
      <c r="S187" s="59">
        <v>111.35999999999999</v>
      </c>
      <c r="T187" s="59">
        <v>0</v>
      </c>
      <c r="U187" s="59">
        <v>0</v>
      </c>
      <c r="V187" s="59">
        <v>278.39999999999998</v>
      </c>
      <c r="W187" s="59">
        <v>0</v>
      </c>
      <c r="X187" s="59">
        <v>0</v>
      </c>
      <c r="Y187" s="59">
        <v>278.39999999999998</v>
      </c>
      <c r="Z187" s="59">
        <v>0</v>
      </c>
      <c r="AA187" s="59">
        <v>167.03999999999996</v>
      </c>
      <c r="AB187" s="59">
        <v>0</v>
      </c>
      <c r="AC187" s="59">
        <v>0</v>
      </c>
      <c r="AE187" s="60"/>
      <c r="AF187" s="60"/>
    </row>
    <row r="188" spans="1:32" s="4" customFormat="1" ht="27.6" x14ac:dyDescent="0.3">
      <c r="A188" s="46" t="s">
        <v>377</v>
      </c>
      <c r="B188" s="47" t="s">
        <v>378</v>
      </c>
      <c r="C188" s="35" t="s">
        <v>69</v>
      </c>
      <c r="D188" s="48" t="s">
        <v>70</v>
      </c>
      <c r="E188" s="35" t="s">
        <v>69</v>
      </c>
      <c r="F188" s="48" t="s">
        <v>71</v>
      </c>
      <c r="G188" s="49">
        <v>21101</v>
      </c>
      <c r="H188" s="50" t="s">
        <v>211</v>
      </c>
      <c r="I188" s="51" t="s">
        <v>250</v>
      </c>
      <c r="J188" s="52" t="s">
        <v>41</v>
      </c>
      <c r="K188" s="53" t="s">
        <v>379</v>
      </c>
      <c r="L188" s="54" t="s">
        <v>379</v>
      </c>
      <c r="M188" s="55" t="s">
        <v>383</v>
      </c>
      <c r="N188" s="56">
        <v>14</v>
      </c>
      <c r="O188" s="57">
        <f>38*1.16</f>
        <v>44.08</v>
      </c>
      <c r="P188" s="58" t="s">
        <v>380</v>
      </c>
      <c r="Q188" s="57">
        <f t="shared" ref="Q188:Q205" si="7">SUM(R188:AC188)</f>
        <v>617.11999999999989</v>
      </c>
      <c r="R188" s="59">
        <v>0</v>
      </c>
      <c r="S188" s="59">
        <v>88.16</v>
      </c>
      <c r="T188" s="59">
        <v>0</v>
      </c>
      <c r="U188" s="59">
        <v>0</v>
      </c>
      <c r="V188" s="59">
        <v>220.39999999999998</v>
      </c>
      <c r="W188" s="59">
        <v>0</v>
      </c>
      <c r="X188" s="59">
        <v>0</v>
      </c>
      <c r="Y188" s="59">
        <v>220.39999999999998</v>
      </c>
      <c r="Z188" s="59">
        <v>0</v>
      </c>
      <c r="AA188" s="59">
        <v>88.16</v>
      </c>
      <c r="AB188" s="59">
        <v>0</v>
      </c>
      <c r="AC188" s="59">
        <v>0</v>
      </c>
      <c r="AE188" s="60"/>
      <c r="AF188" s="60"/>
    </row>
    <row r="189" spans="1:32" s="4" customFormat="1" ht="27.6" x14ac:dyDescent="0.3">
      <c r="A189" s="46" t="s">
        <v>377</v>
      </c>
      <c r="B189" s="47" t="s">
        <v>378</v>
      </c>
      <c r="C189" s="35" t="s">
        <v>69</v>
      </c>
      <c r="D189" s="48" t="s">
        <v>70</v>
      </c>
      <c r="E189" s="35" t="s">
        <v>69</v>
      </c>
      <c r="F189" s="48" t="s">
        <v>71</v>
      </c>
      <c r="G189" s="49">
        <v>21101</v>
      </c>
      <c r="H189" s="50" t="s">
        <v>211</v>
      </c>
      <c r="I189" s="51" t="s">
        <v>388</v>
      </c>
      <c r="J189" s="52" t="s">
        <v>53</v>
      </c>
      <c r="K189" s="53" t="s">
        <v>379</v>
      </c>
      <c r="L189" s="54" t="s">
        <v>379</v>
      </c>
      <c r="M189" s="55" t="s">
        <v>383</v>
      </c>
      <c r="N189" s="56">
        <v>12</v>
      </c>
      <c r="O189" s="57">
        <f>6*1.16</f>
        <v>6.9599999999999991</v>
      </c>
      <c r="P189" s="58" t="s">
        <v>380</v>
      </c>
      <c r="Q189" s="57">
        <f t="shared" si="7"/>
        <v>83.519999999999982</v>
      </c>
      <c r="R189" s="59">
        <v>0</v>
      </c>
      <c r="S189" s="59">
        <v>83.519999999999982</v>
      </c>
      <c r="T189" s="59">
        <v>0</v>
      </c>
      <c r="U189" s="59">
        <v>0</v>
      </c>
      <c r="V189" s="59">
        <v>0</v>
      </c>
      <c r="W189" s="59">
        <v>0</v>
      </c>
      <c r="X189" s="59">
        <v>0</v>
      </c>
      <c r="Y189" s="59">
        <v>0</v>
      </c>
      <c r="Z189" s="59">
        <v>0</v>
      </c>
      <c r="AA189" s="59">
        <v>0</v>
      </c>
      <c r="AB189" s="59">
        <v>0</v>
      </c>
      <c r="AC189" s="59">
        <v>0</v>
      </c>
      <c r="AE189" s="60"/>
      <c r="AF189" s="60"/>
    </row>
    <row r="190" spans="1:32" s="4" customFormat="1" ht="27.6" x14ac:dyDescent="0.3">
      <c r="A190" s="46" t="s">
        <v>377</v>
      </c>
      <c r="B190" s="47" t="s">
        <v>378</v>
      </c>
      <c r="C190" s="35" t="s">
        <v>69</v>
      </c>
      <c r="D190" s="48" t="s">
        <v>70</v>
      </c>
      <c r="E190" s="35" t="s">
        <v>69</v>
      </c>
      <c r="F190" s="48" t="s">
        <v>71</v>
      </c>
      <c r="G190" s="49">
        <v>21101</v>
      </c>
      <c r="H190" s="50" t="s">
        <v>211</v>
      </c>
      <c r="I190" s="51" t="s">
        <v>314</v>
      </c>
      <c r="J190" s="52" t="s">
        <v>389</v>
      </c>
      <c r="K190" s="53" t="s">
        <v>379</v>
      </c>
      <c r="L190" s="54" t="s">
        <v>379</v>
      </c>
      <c r="M190" s="55" t="s">
        <v>56</v>
      </c>
      <c r="N190" s="56">
        <v>20</v>
      </c>
      <c r="O190" s="57">
        <f>150*1.16</f>
        <v>174</v>
      </c>
      <c r="P190" s="58" t="s">
        <v>380</v>
      </c>
      <c r="Q190" s="57">
        <f t="shared" si="7"/>
        <v>3480</v>
      </c>
      <c r="R190" s="59">
        <v>0</v>
      </c>
      <c r="S190" s="59">
        <v>1740</v>
      </c>
      <c r="T190" s="59">
        <v>0</v>
      </c>
      <c r="U190" s="59">
        <v>0</v>
      </c>
      <c r="V190" s="59">
        <v>870</v>
      </c>
      <c r="W190" s="59">
        <v>0</v>
      </c>
      <c r="X190" s="59">
        <v>0</v>
      </c>
      <c r="Y190" s="59">
        <v>870</v>
      </c>
      <c r="Z190" s="59">
        <v>0</v>
      </c>
      <c r="AA190" s="59">
        <v>0</v>
      </c>
      <c r="AB190" s="59">
        <v>0</v>
      </c>
      <c r="AC190" s="59">
        <v>0</v>
      </c>
      <c r="AE190" s="60"/>
      <c r="AF190" s="60"/>
    </row>
    <row r="191" spans="1:32" s="4" customFormat="1" ht="27.6" x14ac:dyDescent="0.3">
      <c r="A191" s="46" t="s">
        <v>377</v>
      </c>
      <c r="B191" s="47" t="s">
        <v>378</v>
      </c>
      <c r="C191" s="35" t="s">
        <v>69</v>
      </c>
      <c r="D191" s="48" t="s">
        <v>70</v>
      </c>
      <c r="E191" s="35" t="s">
        <v>69</v>
      </c>
      <c r="F191" s="48" t="s">
        <v>71</v>
      </c>
      <c r="G191" s="49">
        <v>21101</v>
      </c>
      <c r="H191" s="50" t="s">
        <v>211</v>
      </c>
      <c r="I191" s="51" t="s">
        <v>335</v>
      </c>
      <c r="J191" s="52" t="s">
        <v>150</v>
      </c>
      <c r="K191" s="53" t="s">
        <v>379</v>
      </c>
      <c r="L191" s="54" t="s">
        <v>379</v>
      </c>
      <c r="M191" s="55" t="s">
        <v>383</v>
      </c>
      <c r="N191" s="56">
        <v>14</v>
      </c>
      <c r="O191" s="57">
        <f>21*1.16</f>
        <v>24.36</v>
      </c>
      <c r="P191" s="58" t="s">
        <v>380</v>
      </c>
      <c r="Q191" s="57">
        <f t="shared" si="7"/>
        <v>341.03999999999996</v>
      </c>
      <c r="R191" s="59">
        <v>0</v>
      </c>
      <c r="S191" s="59">
        <v>243.6</v>
      </c>
      <c r="T191" s="59">
        <v>0</v>
      </c>
      <c r="U191" s="59">
        <v>0</v>
      </c>
      <c r="V191" s="59">
        <v>48.72</v>
      </c>
      <c r="W191" s="59">
        <v>0</v>
      </c>
      <c r="X191" s="59">
        <v>0</v>
      </c>
      <c r="Y191" s="59">
        <v>48.72</v>
      </c>
      <c r="Z191" s="59">
        <v>0</v>
      </c>
      <c r="AA191" s="59">
        <v>0</v>
      </c>
      <c r="AB191" s="59">
        <v>0</v>
      </c>
      <c r="AC191" s="59">
        <v>0</v>
      </c>
      <c r="AE191" s="60"/>
      <c r="AF191" s="60"/>
    </row>
    <row r="192" spans="1:32" s="4" customFormat="1" ht="27.6" x14ac:dyDescent="0.3">
      <c r="A192" s="46" t="s">
        <v>377</v>
      </c>
      <c r="B192" s="47" t="s">
        <v>378</v>
      </c>
      <c r="C192" s="35" t="s">
        <v>69</v>
      </c>
      <c r="D192" s="48" t="s">
        <v>70</v>
      </c>
      <c r="E192" s="35" t="s">
        <v>69</v>
      </c>
      <c r="F192" s="48" t="s">
        <v>71</v>
      </c>
      <c r="G192" s="49">
        <v>21101</v>
      </c>
      <c r="H192" s="50" t="s">
        <v>211</v>
      </c>
      <c r="I192" s="51" t="s">
        <v>390</v>
      </c>
      <c r="J192" s="52" t="s">
        <v>391</v>
      </c>
      <c r="K192" s="53" t="s">
        <v>379</v>
      </c>
      <c r="L192" s="54" t="s">
        <v>379</v>
      </c>
      <c r="M192" s="55" t="s">
        <v>383</v>
      </c>
      <c r="N192" s="56">
        <v>2</v>
      </c>
      <c r="O192" s="57">
        <f>21*1.16</f>
        <v>24.36</v>
      </c>
      <c r="P192" s="58" t="s">
        <v>380</v>
      </c>
      <c r="Q192" s="57">
        <f t="shared" si="7"/>
        <v>48.72</v>
      </c>
      <c r="R192" s="59">
        <v>0</v>
      </c>
      <c r="S192" s="59">
        <v>48.72</v>
      </c>
      <c r="T192" s="59">
        <v>0</v>
      </c>
      <c r="U192" s="59">
        <v>0</v>
      </c>
      <c r="V192" s="59">
        <v>0</v>
      </c>
      <c r="W192" s="59">
        <v>0</v>
      </c>
      <c r="X192" s="59">
        <v>0</v>
      </c>
      <c r="Y192" s="59">
        <v>0</v>
      </c>
      <c r="Z192" s="59">
        <v>0</v>
      </c>
      <c r="AA192" s="59">
        <v>0</v>
      </c>
      <c r="AB192" s="59">
        <v>0</v>
      </c>
      <c r="AC192" s="59">
        <v>0</v>
      </c>
      <c r="AE192" s="60"/>
      <c r="AF192" s="60"/>
    </row>
    <row r="193" spans="1:32" s="4" customFormat="1" ht="27.6" x14ac:dyDescent="0.3">
      <c r="A193" s="46" t="s">
        <v>377</v>
      </c>
      <c r="B193" s="47" t="s">
        <v>378</v>
      </c>
      <c r="C193" s="35" t="s">
        <v>69</v>
      </c>
      <c r="D193" s="48" t="s">
        <v>70</v>
      </c>
      <c r="E193" s="35" t="s">
        <v>69</v>
      </c>
      <c r="F193" s="48" t="s">
        <v>71</v>
      </c>
      <c r="G193" s="49">
        <v>21101</v>
      </c>
      <c r="H193" s="50" t="s">
        <v>211</v>
      </c>
      <c r="I193" s="51" t="s">
        <v>392</v>
      </c>
      <c r="J193" s="52" t="s">
        <v>107</v>
      </c>
      <c r="K193" s="53" t="s">
        <v>379</v>
      </c>
      <c r="L193" s="54" t="s">
        <v>379</v>
      </c>
      <c r="M193" s="55" t="s">
        <v>56</v>
      </c>
      <c r="N193" s="56">
        <v>2</v>
      </c>
      <c r="O193" s="57">
        <f>280*1.16</f>
        <v>324.79999999999995</v>
      </c>
      <c r="P193" s="58" t="s">
        <v>380</v>
      </c>
      <c r="Q193" s="57">
        <f t="shared" si="7"/>
        <v>649.59999999999991</v>
      </c>
      <c r="R193" s="59">
        <v>0</v>
      </c>
      <c r="S193" s="59">
        <v>324.79999999999995</v>
      </c>
      <c r="T193" s="59">
        <v>0</v>
      </c>
      <c r="U193" s="59">
        <v>0</v>
      </c>
      <c r="V193" s="59">
        <v>0</v>
      </c>
      <c r="W193" s="59">
        <v>0</v>
      </c>
      <c r="X193" s="59">
        <v>0</v>
      </c>
      <c r="Y193" s="59">
        <v>0</v>
      </c>
      <c r="Z193" s="59">
        <v>0</v>
      </c>
      <c r="AA193" s="59">
        <v>324.79999999999995</v>
      </c>
      <c r="AB193" s="59">
        <v>0</v>
      </c>
      <c r="AC193" s="59">
        <v>0</v>
      </c>
      <c r="AE193" s="60"/>
      <c r="AF193" s="60"/>
    </row>
    <row r="194" spans="1:32" s="4" customFormat="1" ht="27.6" x14ac:dyDescent="0.3">
      <c r="A194" s="46" t="s">
        <v>377</v>
      </c>
      <c r="B194" s="47" t="s">
        <v>378</v>
      </c>
      <c r="C194" s="35" t="s">
        <v>69</v>
      </c>
      <c r="D194" s="48" t="s">
        <v>70</v>
      </c>
      <c r="E194" s="35" t="s">
        <v>69</v>
      </c>
      <c r="F194" s="48" t="s">
        <v>71</v>
      </c>
      <c r="G194" s="49">
        <v>21101</v>
      </c>
      <c r="H194" s="50" t="s">
        <v>211</v>
      </c>
      <c r="I194" s="51" t="s">
        <v>393</v>
      </c>
      <c r="J194" s="52" t="s">
        <v>394</v>
      </c>
      <c r="K194" s="53" t="s">
        <v>379</v>
      </c>
      <c r="L194" s="54" t="s">
        <v>379</v>
      </c>
      <c r="M194" s="55" t="s">
        <v>56</v>
      </c>
      <c r="N194" s="56">
        <v>2</v>
      </c>
      <c r="O194" s="57">
        <f>263*1.16</f>
        <v>305.08</v>
      </c>
      <c r="P194" s="58" t="s">
        <v>380</v>
      </c>
      <c r="Q194" s="57">
        <f t="shared" si="7"/>
        <v>610.16</v>
      </c>
      <c r="R194" s="59">
        <v>0</v>
      </c>
      <c r="S194" s="59">
        <v>305.08</v>
      </c>
      <c r="T194" s="59">
        <v>0</v>
      </c>
      <c r="U194" s="59">
        <v>0</v>
      </c>
      <c r="V194" s="59">
        <v>0</v>
      </c>
      <c r="W194" s="59">
        <v>0</v>
      </c>
      <c r="X194" s="59">
        <v>0</v>
      </c>
      <c r="Y194" s="59">
        <v>0</v>
      </c>
      <c r="Z194" s="59">
        <v>0</v>
      </c>
      <c r="AA194" s="59">
        <v>305.08</v>
      </c>
      <c r="AB194" s="59">
        <v>0</v>
      </c>
      <c r="AC194" s="59">
        <v>0</v>
      </c>
      <c r="AE194" s="60"/>
      <c r="AF194" s="60"/>
    </row>
    <row r="195" spans="1:32" s="4" customFormat="1" ht="27.6" x14ac:dyDescent="0.3">
      <c r="A195" s="46" t="s">
        <v>377</v>
      </c>
      <c r="B195" s="47" t="s">
        <v>378</v>
      </c>
      <c r="C195" s="35" t="s">
        <v>69</v>
      </c>
      <c r="D195" s="48" t="s">
        <v>70</v>
      </c>
      <c r="E195" s="35" t="s">
        <v>69</v>
      </c>
      <c r="F195" s="48" t="s">
        <v>71</v>
      </c>
      <c r="G195" s="49">
        <v>21101</v>
      </c>
      <c r="H195" s="50" t="s">
        <v>211</v>
      </c>
      <c r="I195" s="51" t="s">
        <v>395</v>
      </c>
      <c r="J195" s="52" t="s">
        <v>396</v>
      </c>
      <c r="K195" s="53" t="s">
        <v>379</v>
      </c>
      <c r="L195" s="54" t="s">
        <v>379</v>
      </c>
      <c r="M195" s="55" t="s">
        <v>383</v>
      </c>
      <c r="N195" s="56">
        <v>1</v>
      </c>
      <c r="O195" s="57">
        <f>16*1.16</f>
        <v>18.559999999999999</v>
      </c>
      <c r="P195" s="58" t="s">
        <v>380</v>
      </c>
      <c r="Q195" s="57">
        <f t="shared" si="7"/>
        <v>18.559999999999999</v>
      </c>
      <c r="R195" s="59">
        <v>0</v>
      </c>
      <c r="S195" s="59">
        <v>18.559999999999999</v>
      </c>
      <c r="T195" s="59">
        <v>0</v>
      </c>
      <c r="U195" s="59">
        <v>0</v>
      </c>
      <c r="V195" s="59">
        <v>0</v>
      </c>
      <c r="W195" s="59">
        <v>0</v>
      </c>
      <c r="X195" s="59">
        <v>0</v>
      </c>
      <c r="Y195" s="59">
        <v>0</v>
      </c>
      <c r="Z195" s="59">
        <v>0</v>
      </c>
      <c r="AA195" s="59">
        <v>0</v>
      </c>
      <c r="AB195" s="59">
        <v>0</v>
      </c>
      <c r="AC195" s="59">
        <v>0</v>
      </c>
      <c r="AE195" s="60"/>
      <c r="AF195" s="60"/>
    </row>
    <row r="196" spans="1:32" s="4" customFormat="1" ht="27.6" x14ac:dyDescent="0.3">
      <c r="A196" s="46" t="s">
        <v>377</v>
      </c>
      <c r="B196" s="47" t="s">
        <v>378</v>
      </c>
      <c r="C196" s="35" t="s">
        <v>69</v>
      </c>
      <c r="D196" s="48" t="s">
        <v>70</v>
      </c>
      <c r="E196" s="35" t="s">
        <v>69</v>
      </c>
      <c r="F196" s="48" t="s">
        <v>71</v>
      </c>
      <c r="G196" s="49">
        <v>21101</v>
      </c>
      <c r="H196" s="50" t="s">
        <v>211</v>
      </c>
      <c r="I196" s="51" t="s">
        <v>334</v>
      </c>
      <c r="J196" s="52" t="s">
        <v>44</v>
      </c>
      <c r="K196" s="53" t="s">
        <v>379</v>
      </c>
      <c r="L196" s="54" t="s">
        <v>379</v>
      </c>
      <c r="M196" s="55" t="s">
        <v>383</v>
      </c>
      <c r="N196" s="56">
        <v>3</v>
      </c>
      <c r="O196" s="57">
        <f>164*1.16</f>
        <v>190.23999999999998</v>
      </c>
      <c r="P196" s="58" t="s">
        <v>380</v>
      </c>
      <c r="Q196" s="57">
        <f t="shared" si="7"/>
        <v>570.71999999999991</v>
      </c>
      <c r="R196" s="59">
        <v>0</v>
      </c>
      <c r="S196" s="59">
        <v>190.23999999999998</v>
      </c>
      <c r="T196" s="59">
        <v>0</v>
      </c>
      <c r="U196" s="59">
        <v>0</v>
      </c>
      <c r="V196" s="59">
        <v>0</v>
      </c>
      <c r="W196" s="59">
        <v>0</v>
      </c>
      <c r="X196" s="59">
        <v>0</v>
      </c>
      <c r="Y196" s="59">
        <v>0</v>
      </c>
      <c r="Z196" s="59">
        <v>0</v>
      </c>
      <c r="AA196" s="59">
        <v>380.47999999999996</v>
      </c>
      <c r="AB196" s="59">
        <v>0</v>
      </c>
      <c r="AC196" s="59">
        <v>0</v>
      </c>
      <c r="AE196" s="60"/>
      <c r="AF196" s="60"/>
    </row>
    <row r="197" spans="1:32" s="4" customFormat="1" ht="27.6" x14ac:dyDescent="0.3">
      <c r="A197" s="46" t="s">
        <v>377</v>
      </c>
      <c r="B197" s="47" t="s">
        <v>378</v>
      </c>
      <c r="C197" s="35" t="s">
        <v>69</v>
      </c>
      <c r="D197" s="48" t="s">
        <v>70</v>
      </c>
      <c r="E197" s="35" t="s">
        <v>69</v>
      </c>
      <c r="F197" s="48" t="s">
        <v>71</v>
      </c>
      <c r="G197" s="49">
        <v>21101</v>
      </c>
      <c r="H197" s="50" t="s">
        <v>211</v>
      </c>
      <c r="I197" s="51" t="s">
        <v>397</v>
      </c>
      <c r="J197" s="52" t="s">
        <v>398</v>
      </c>
      <c r="K197" s="53" t="s">
        <v>379</v>
      </c>
      <c r="L197" s="54" t="s">
        <v>379</v>
      </c>
      <c r="M197" s="55" t="s">
        <v>56</v>
      </c>
      <c r="N197" s="56">
        <v>29</v>
      </c>
      <c r="O197" s="57">
        <f>17*1.16</f>
        <v>19.72</v>
      </c>
      <c r="P197" s="58" t="s">
        <v>380</v>
      </c>
      <c r="Q197" s="57">
        <f t="shared" si="7"/>
        <v>571.88</v>
      </c>
      <c r="R197" s="59">
        <v>0</v>
      </c>
      <c r="S197" s="59">
        <v>98.6</v>
      </c>
      <c r="T197" s="59">
        <v>0</v>
      </c>
      <c r="U197" s="59">
        <v>0</v>
      </c>
      <c r="V197" s="59">
        <v>0</v>
      </c>
      <c r="W197" s="59">
        <v>0</v>
      </c>
      <c r="X197" s="59">
        <v>0</v>
      </c>
      <c r="Y197" s="59">
        <v>0</v>
      </c>
      <c r="Z197" s="59">
        <v>0</v>
      </c>
      <c r="AA197" s="59">
        <v>473.28</v>
      </c>
      <c r="AB197" s="59">
        <v>0</v>
      </c>
      <c r="AC197" s="59">
        <v>0</v>
      </c>
      <c r="AE197" s="60"/>
      <c r="AF197" s="60"/>
    </row>
    <row r="198" spans="1:32" s="4" customFormat="1" ht="27.6" x14ac:dyDescent="0.3">
      <c r="A198" s="46" t="s">
        <v>377</v>
      </c>
      <c r="B198" s="47" t="s">
        <v>378</v>
      </c>
      <c r="C198" s="35" t="s">
        <v>69</v>
      </c>
      <c r="D198" s="48" t="s">
        <v>70</v>
      </c>
      <c r="E198" s="35" t="s">
        <v>69</v>
      </c>
      <c r="F198" s="48" t="s">
        <v>71</v>
      </c>
      <c r="G198" s="49">
        <v>21101</v>
      </c>
      <c r="H198" s="50" t="s">
        <v>211</v>
      </c>
      <c r="I198" s="51" t="s">
        <v>390</v>
      </c>
      <c r="J198" s="52" t="s">
        <v>391</v>
      </c>
      <c r="K198" s="53" t="s">
        <v>379</v>
      </c>
      <c r="L198" s="54" t="s">
        <v>379</v>
      </c>
      <c r="M198" s="55" t="s">
        <v>383</v>
      </c>
      <c r="N198" s="56">
        <v>2</v>
      </c>
      <c r="O198" s="57">
        <f>7.225*1.16</f>
        <v>8.3809999999999985</v>
      </c>
      <c r="P198" s="58" t="s">
        <v>380</v>
      </c>
      <c r="Q198" s="57">
        <f t="shared" si="7"/>
        <v>16.761999999999997</v>
      </c>
      <c r="R198" s="59">
        <v>0</v>
      </c>
      <c r="S198" s="59">
        <v>16.761999999999997</v>
      </c>
      <c r="T198" s="59">
        <v>0</v>
      </c>
      <c r="U198" s="59">
        <v>0</v>
      </c>
      <c r="V198" s="59">
        <v>0</v>
      </c>
      <c r="W198" s="59">
        <v>0</v>
      </c>
      <c r="X198" s="59">
        <v>0</v>
      </c>
      <c r="Y198" s="59">
        <v>0</v>
      </c>
      <c r="Z198" s="59">
        <v>0</v>
      </c>
      <c r="AA198" s="59">
        <v>0</v>
      </c>
      <c r="AB198" s="59">
        <v>0</v>
      </c>
      <c r="AC198" s="59">
        <v>0</v>
      </c>
      <c r="AE198" s="60"/>
      <c r="AF198" s="60"/>
    </row>
    <row r="199" spans="1:32" s="4" customFormat="1" ht="27.6" x14ac:dyDescent="0.3">
      <c r="A199" s="46" t="s">
        <v>377</v>
      </c>
      <c r="B199" s="47" t="s">
        <v>378</v>
      </c>
      <c r="C199" s="35" t="s">
        <v>69</v>
      </c>
      <c r="D199" s="48" t="s">
        <v>70</v>
      </c>
      <c r="E199" s="35" t="s">
        <v>69</v>
      </c>
      <c r="F199" s="48" t="s">
        <v>71</v>
      </c>
      <c r="G199" s="49">
        <v>21101</v>
      </c>
      <c r="H199" s="50" t="s">
        <v>211</v>
      </c>
      <c r="I199" s="51" t="s">
        <v>390</v>
      </c>
      <c r="J199" s="52" t="s">
        <v>391</v>
      </c>
      <c r="K199" s="53" t="s">
        <v>379</v>
      </c>
      <c r="L199" s="54" t="s">
        <v>379</v>
      </c>
      <c r="M199" s="55" t="s">
        <v>383</v>
      </c>
      <c r="N199" s="56">
        <v>2</v>
      </c>
      <c r="O199" s="57">
        <v>7.52</v>
      </c>
      <c r="P199" s="58" t="s">
        <v>380</v>
      </c>
      <c r="Q199" s="57">
        <f t="shared" si="7"/>
        <v>15.04</v>
      </c>
      <c r="R199" s="59">
        <v>0</v>
      </c>
      <c r="S199" s="59">
        <v>0</v>
      </c>
      <c r="T199" s="59">
        <v>0</v>
      </c>
      <c r="U199" s="59">
        <v>0</v>
      </c>
      <c r="V199" s="59">
        <v>7.52</v>
      </c>
      <c r="W199" s="59">
        <v>0</v>
      </c>
      <c r="X199" s="59">
        <v>0</v>
      </c>
      <c r="Y199" s="59">
        <v>7.52</v>
      </c>
      <c r="Z199" s="59">
        <v>0</v>
      </c>
      <c r="AA199" s="59">
        <v>0</v>
      </c>
      <c r="AB199" s="59">
        <v>0</v>
      </c>
      <c r="AC199" s="59">
        <v>0</v>
      </c>
      <c r="AE199" s="60"/>
      <c r="AF199" s="60"/>
    </row>
    <row r="200" spans="1:32" s="4" customFormat="1" ht="27.6" x14ac:dyDescent="0.3">
      <c r="A200" s="46" t="s">
        <v>377</v>
      </c>
      <c r="B200" s="47" t="s">
        <v>378</v>
      </c>
      <c r="C200" s="35" t="s">
        <v>69</v>
      </c>
      <c r="D200" s="48" t="s">
        <v>70</v>
      </c>
      <c r="E200" s="35" t="s">
        <v>69</v>
      </c>
      <c r="F200" s="48" t="s">
        <v>71</v>
      </c>
      <c r="G200" s="49">
        <v>21101</v>
      </c>
      <c r="H200" s="50" t="s">
        <v>211</v>
      </c>
      <c r="I200" s="51" t="s">
        <v>390</v>
      </c>
      <c r="J200" s="52" t="s">
        <v>391</v>
      </c>
      <c r="K200" s="53" t="s">
        <v>379</v>
      </c>
      <c r="L200" s="54" t="s">
        <v>379</v>
      </c>
      <c r="M200" s="55" t="s">
        <v>383</v>
      </c>
      <c r="N200" s="56">
        <v>1</v>
      </c>
      <c r="O200" s="57">
        <f>3.28*1.16</f>
        <v>3.8047999999999993</v>
      </c>
      <c r="P200" s="58" t="s">
        <v>380</v>
      </c>
      <c r="Q200" s="57">
        <f t="shared" si="7"/>
        <v>3.8047999999999993</v>
      </c>
      <c r="R200" s="59">
        <v>0</v>
      </c>
      <c r="S200" s="59">
        <v>0</v>
      </c>
      <c r="T200" s="59">
        <v>0</v>
      </c>
      <c r="U200" s="59">
        <v>0</v>
      </c>
      <c r="V200" s="59">
        <v>0</v>
      </c>
      <c r="W200" s="59">
        <v>0</v>
      </c>
      <c r="X200" s="59">
        <v>0</v>
      </c>
      <c r="Y200" s="59">
        <v>0</v>
      </c>
      <c r="Z200" s="59">
        <v>0</v>
      </c>
      <c r="AA200" s="59">
        <v>3.8047999999999993</v>
      </c>
      <c r="AB200" s="59">
        <v>0</v>
      </c>
      <c r="AC200" s="59">
        <v>0</v>
      </c>
      <c r="AE200" s="60"/>
      <c r="AF200" s="60"/>
    </row>
    <row r="201" spans="1:32" s="4" customFormat="1" ht="27.6" x14ac:dyDescent="0.3">
      <c r="A201" s="46" t="s">
        <v>377</v>
      </c>
      <c r="B201" s="47" t="s">
        <v>378</v>
      </c>
      <c r="C201" s="35" t="s">
        <v>69</v>
      </c>
      <c r="D201" s="48" t="s">
        <v>70</v>
      </c>
      <c r="E201" s="35" t="s">
        <v>69</v>
      </c>
      <c r="F201" s="48" t="s">
        <v>71</v>
      </c>
      <c r="G201" s="49">
        <v>21601</v>
      </c>
      <c r="H201" s="50" t="s">
        <v>212</v>
      </c>
      <c r="I201" s="51" t="s">
        <v>336</v>
      </c>
      <c r="J201" s="52" t="s">
        <v>151</v>
      </c>
      <c r="K201" s="53" t="s">
        <v>379</v>
      </c>
      <c r="L201" s="54" t="s">
        <v>379</v>
      </c>
      <c r="M201" s="55" t="s">
        <v>399</v>
      </c>
      <c r="N201" s="56">
        <v>87</v>
      </c>
      <c r="O201" s="57">
        <f>32*1.16</f>
        <v>37.119999999999997</v>
      </c>
      <c r="P201" s="58" t="s">
        <v>380</v>
      </c>
      <c r="Q201" s="57">
        <f t="shared" si="7"/>
        <v>3229.44</v>
      </c>
      <c r="R201" s="59">
        <v>0</v>
      </c>
      <c r="S201" s="59">
        <v>593.91999999999996</v>
      </c>
      <c r="T201" s="59">
        <v>0</v>
      </c>
      <c r="U201" s="59">
        <v>0</v>
      </c>
      <c r="V201" s="59">
        <v>593.91999999999996</v>
      </c>
      <c r="W201" s="59">
        <v>0</v>
      </c>
      <c r="X201" s="59">
        <v>0</v>
      </c>
      <c r="Y201" s="59">
        <v>1299.1999999999998</v>
      </c>
      <c r="Z201" s="59">
        <v>0</v>
      </c>
      <c r="AA201" s="59">
        <v>742.4</v>
      </c>
      <c r="AB201" s="59">
        <v>0</v>
      </c>
      <c r="AC201" s="59">
        <v>0</v>
      </c>
      <c r="AE201" s="60"/>
      <c r="AF201" s="60"/>
    </row>
    <row r="202" spans="1:32" s="4" customFormat="1" ht="27.6" x14ac:dyDescent="0.3">
      <c r="A202" s="46" t="s">
        <v>377</v>
      </c>
      <c r="B202" s="47" t="s">
        <v>378</v>
      </c>
      <c r="C202" s="35" t="s">
        <v>69</v>
      </c>
      <c r="D202" s="48" t="s">
        <v>70</v>
      </c>
      <c r="E202" s="35" t="s">
        <v>69</v>
      </c>
      <c r="F202" s="48" t="s">
        <v>71</v>
      </c>
      <c r="G202" s="49">
        <v>21601</v>
      </c>
      <c r="H202" s="50" t="s">
        <v>212</v>
      </c>
      <c r="I202" s="51" t="s">
        <v>337</v>
      </c>
      <c r="J202" s="52" t="s">
        <v>152</v>
      </c>
      <c r="K202" s="53" t="s">
        <v>379</v>
      </c>
      <c r="L202" s="54" t="s">
        <v>379</v>
      </c>
      <c r="M202" s="55" t="s">
        <v>55</v>
      </c>
      <c r="N202" s="56">
        <v>19</v>
      </c>
      <c r="O202" s="57">
        <f>289.3*1.16</f>
        <v>335.58799999999997</v>
      </c>
      <c r="P202" s="58" t="s">
        <v>380</v>
      </c>
      <c r="Q202" s="57">
        <f t="shared" si="7"/>
        <v>6376.1719999999987</v>
      </c>
      <c r="R202" s="59">
        <v>0</v>
      </c>
      <c r="S202" s="59">
        <v>1342.3519999999999</v>
      </c>
      <c r="T202" s="59">
        <v>0</v>
      </c>
      <c r="U202" s="59">
        <v>0</v>
      </c>
      <c r="V202" s="59">
        <v>1342.3519999999999</v>
      </c>
      <c r="W202" s="59">
        <v>0</v>
      </c>
      <c r="X202" s="59">
        <v>0</v>
      </c>
      <c r="Y202" s="59">
        <v>1677.9399999999998</v>
      </c>
      <c r="Z202" s="59">
        <v>0</v>
      </c>
      <c r="AA202" s="59">
        <v>2013.5279999999998</v>
      </c>
      <c r="AB202" s="59">
        <v>0</v>
      </c>
      <c r="AC202" s="59">
        <v>0</v>
      </c>
      <c r="AE202" s="60"/>
      <c r="AF202" s="60"/>
    </row>
    <row r="203" spans="1:32" s="4" customFormat="1" ht="27.6" x14ac:dyDescent="0.3">
      <c r="A203" s="46" t="s">
        <v>377</v>
      </c>
      <c r="B203" s="47" t="s">
        <v>378</v>
      </c>
      <c r="C203" s="35" t="s">
        <v>69</v>
      </c>
      <c r="D203" s="48" t="s">
        <v>70</v>
      </c>
      <c r="E203" s="35" t="s">
        <v>69</v>
      </c>
      <c r="F203" s="48" t="s">
        <v>71</v>
      </c>
      <c r="G203" s="49">
        <v>21601</v>
      </c>
      <c r="H203" s="50" t="s">
        <v>212</v>
      </c>
      <c r="I203" s="51" t="s">
        <v>336</v>
      </c>
      <c r="J203" s="52" t="s">
        <v>151</v>
      </c>
      <c r="K203" s="53" t="s">
        <v>379</v>
      </c>
      <c r="L203" s="54" t="s">
        <v>379</v>
      </c>
      <c r="M203" s="55" t="s">
        <v>399</v>
      </c>
      <c r="N203" s="56">
        <v>4</v>
      </c>
      <c r="O203" s="57">
        <f>27.47*1.16</f>
        <v>31.865199999999998</v>
      </c>
      <c r="P203" s="58" t="s">
        <v>380</v>
      </c>
      <c r="Q203" s="57">
        <f t="shared" si="7"/>
        <v>127.46</v>
      </c>
      <c r="R203" s="59">
        <v>0</v>
      </c>
      <c r="S203" s="59">
        <v>63.73</v>
      </c>
      <c r="T203" s="59">
        <v>0</v>
      </c>
      <c r="U203" s="59">
        <v>0</v>
      </c>
      <c r="V203" s="59">
        <v>63.73</v>
      </c>
      <c r="W203" s="59">
        <v>0</v>
      </c>
      <c r="X203" s="59">
        <v>0</v>
      </c>
      <c r="Y203" s="59">
        <v>0</v>
      </c>
      <c r="Z203" s="59">
        <v>0</v>
      </c>
      <c r="AA203" s="59">
        <v>0</v>
      </c>
      <c r="AB203" s="59">
        <v>0</v>
      </c>
      <c r="AC203" s="59">
        <v>0</v>
      </c>
      <c r="AE203" s="60"/>
      <c r="AF203" s="60"/>
    </row>
    <row r="204" spans="1:32" s="4" customFormat="1" ht="27.6" x14ac:dyDescent="0.3">
      <c r="A204" s="46" t="s">
        <v>377</v>
      </c>
      <c r="B204" s="47" t="s">
        <v>378</v>
      </c>
      <c r="C204" s="35" t="s">
        <v>69</v>
      </c>
      <c r="D204" s="48" t="s">
        <v>70</v>
      </c>
      <c r="E204" s="35" t="s">
        <v>69</v>
      </c>
      <c r="F204" s="48" t="s">
        <v>71</v>
      </c>
      <c r="G204" s="49">
        <v>21601</v>
      </c>
      <c r="H204" s="50" t="s">
        <v>212</v>
      </c>
      <c r="I204" s="51" t="s">
        <v>336</v>
      </c>
      <c r="J204" s="52" t="s">
        <v>151</v>
      </c>
      <c r="K204" s="53" t="s">
        <v>379</v>
      </c>
      <c r="L204" s="54" t="s">
        <v>379</v>
      </c>
      <c r="M204" s="55" t="s">
        <v>399</v>
      </c>
      <c r="N204" s="56">
        <v>1</v>
      </c>
      <c r="O204" s="57">
        <f>19.71*1.16</f>
        <v>22.863599999999998</v>
      </c>
      <c r="P204" s="58" t="s">
        <v>380</v>
      </c>
      <c r="Q204" s="57">
        <f t="shared" si="7"/>
        <v>22.863599999999998</v>
      </c>
      <c r="R204" s="59">
        <v>0</v>
      </c>
      <c r="S204" s="59">
        <v>0</v>
      </c>
      <c r="T204" s="59">
        <v>0</v>
      </c>
      <c r="U204" s="59">
        <v>0</v>
      </c>
      <c r="V204" s="59">
        <v>0</v>
      </c>
      <c r="W204" s="59">
        <v>0</v>
      </c>
      <c r="X204" s="59">
        <v>0</v>
      </c>
      <c r="Y204" s="59">
        <v>22.863599999999998</v>
      </c>
      <c r="Z204" s="59">
        <v>0</v>
      </c>
      <c r="AA204" s="59">
        <v>0</v>
      </c>
      <c r="AB204" s="59">
        <v>0</v>
      </c>
      <c r="AC204" s="59">
        <v>0</v>
      </c>
      <c r="AE204" s="60"/>
      <c r="AF204" s="60"/>
    </row>
    <row r="205" spans="1:32" s="4" customFormat="1" ht="27.6" x14ac:dyDescent="0.3">
      <c r="A205" s="46" t="s">
        <v>377</v>
      </c>
      <c r="B205" s="47" t="s">
        <v>378</v>
      </c>
      <c r="C205" s="35" t="s">
        <v>69</v>
      </c>
      <c r="D205" s="48" t="s">
        <v>70</v>
      </c>
      <c r="E205" s="35" t="s">
        <v>69</v>
      </c>
      <c r="F205" s="48" t="s">
        <v>71</v>
      </c>
      <c r="G205" s="49">
        <v>21601</v>
      </c>
      <c r="H205" s="50" t="s">
        <v>212</v>
      </c>
      <c r="I205" s="51" t="s">
        <v>336</v>
      </c>
      <c r="J205" s="52" t="s">
        <v>151</v>
      </c>
      <c r="K205" s="53" t="s">
        <v>379</v>
      </c>
      <c r="L205" s="54" t="s">
        <v>379</v>
      </c>
      <c r="M205" s="55" t="s">
        <v>399</v>
      </c>
      <c r="N205" s="56">
        <v>1</v>
      </c>
      <c r="O205" s="57">
        <f>25.06*1.16</f>
        <v>29.069599999999998</v>
      </c>
      <c r="P205" s="58" t="s">
        <v>380</v>
      </c>
      <c r="Q205" s="57">
        <f t="shared" si="7"/>
        <v>29.069599999999998</v>
      </c>
      <c r="R205" s="59">
        <v>0</v>
      </c>
      <c r="S205" s="59">
        <v>0</v>
      </c>
      <c r="T205" s="59">
        <v>0</v>
      </c>
      <c r="U205" s="59">
        <v>0</v>
      </c>
      <c r="V205" s="59">
        <v>0</v>
      </c>
      <c r="W205" s="59">
        <v>0</v>
      </c>
      <c r="X205" s="59">
        <v>0</v>
      </c>
      <c r="Y205" s="59">
        <v>0</v>
      </c>
      <c r="Z205" s="59">
        <v>0</v>
      </c>
      <c r="AA205" s="59">
        <v>29.069599999999998</v>
      </c>
      <c r="AB205" s="59">
        <v>0</v>
      </c>
      <c r="AC205" s="59">
        <v>0</v>
      </c>
      <c r="AE205" s="60"/>
      <c r="AF205" s="60"/>
    </row>
    <row r="206" spans="1:32" s="4" customFormat="1" ht="61.2" x14ac:dyDescent="0.3">
      <c r="A206" s="46" t="s">
        <v>377</v>
      </c>
      <c r="B206" s="47" t="s">
        <v>378</v>
      </c>
      <c r="C206" s="35" t="s">
        <v>69</v>
      </c>
      <c r="D206" s="48" t="s">
        <v>70</v>
      </c>
      <c r="E206" s="35" t="s">
        <v>69</v>
      </c>
      <c r="F206" s="48" t="s">
        <v>71</v>
      </c>
      <c r="G206" s="49">
        <v>22104</v>
      </c>
      <c r="H206" s="50" t="s">
        <v>216</v>
      </c>
      <c r="I206" s="51" t="s">
        <v>400</v>
      </c>
      <c r="J206" s="52" t="s">
        <v>401</v>
      </c>
      <c r="K206" s="53" t="s">
        <v>379</v>
      </c>
      <c r="L206" s="54" t="s">
        <v>379</v>
      </c>
      <c r="M206" s="55" t="s">
        <v>62</v>
      </c>
      <c r="N206" s="56">
        <v>2</v>
      </c>
      <c r="O206" s="57">
        <f>242*1.16</f>
        <v>280.71999999999997</v>
      </c>
      <c r="P206" s="58" t="s">
        <v>380</v>
      </c>
      <c r="Q206" s="57">
        <f>SUM(R206:AC206)</f>
        <v>561.43999999999994</v>
      </c>
      <c r="R206" s="61">
        <v>280.71999999999997</v>
      </c>
      <c r="S206" s="59">
        <v>0</v>
      </c>
      <c r="T206" s="59">
        <v>0</v>
      </c>
      <c r="U206" s="59">
        <v>0</v>
      </c>
      <c r="V206" s="59">
        <v>0</v>
      </c>
      <c r="W206" s="59">
        <v>0</v>
      </c>
      <c r="X206" s="59">
        <v>0</v>
      </c>
      <c r="Y206" s="59">
        <v>280.71999999999997</v>
      </c>
      <c r="Z206" s="59">
        <v>0</v>
      </c>
      <c r="AA206" s="59">
        <v>0</v>
      </c>
      <c r="AB206" s="59">
        <v>0</v>
      </c>
      <c r="AC206" s="59">
        <v>0</v>
      </c>
      <c r="AE206" s="60"/>
      <c r="AF206" s="60"/>
    </row>
    <row r="207" spans="1:32" s="4" customFormat="1" ht="61.2" x14ac:dyDescent="0.3">
      <c r="A207" s="46" t="s">
        <v>377</v>
      </c>
      <c r="B207" s="47" t="s">
        <v>378</v>
      </c>
      <c r="C207" s="35" t="s">
        <v>69</v>
      </c>
      <c r="D207" s="48" t="s">
        <v>70</v>
      </c>
      <c r="E207" s="35" t="s">
        <v>69</v>
      </c>
      <c r="F207" s="48" t="s">
        <v>71</v>
      </c>
      <c r="G207" s="49">
        <v>22104</v>
      </c>
      <c r="H207" s="50" t="s">
        <v>216</v>
      </c>
      <c r="I207" s="51" t="s">
        <v>402</v>
      </c>
      <c r="J207" s="52" t="s">
        <v>403</v>
      </c>
      <c r="K207" s="53" t="s">
        <v>379</v>
      </c>
      <c r="L207" s="54" t="s">
        <v>379</v>
      </c>
      <c r="M207" s="55" t="s">
        <v>62</v>
      </c>
      <c r="N207" s="56">
        <v>2</v>
      </c>
      <c r="O207" s="57">
        <f>91.64*1.16</f>
        <v>106.30239999999999</v>
      </c>
      <c r="P207" s="58" t="s">
        <v>380</v>
      </c>
      <c r="Q207" s="57">
        <f t="shared" ref="Q207:Q215" si="8">SUM(R207:AC207)</f>
        <v>212.60479999999998</v>
      </c>
      <c r="R207" s="61">
        <v>106.30239999999999</v>
      </c>
      <c r="S207" s="59">
        <v>0</v>
      </c>
      <c r="T207" s="59">
        <v>0</v>
      </c>
      <c r="U207" s="59">
        <v>0</v>
      </c>
      <c r="V207" s="59">
        <v>0</v>
      </c>
      <c r="W207" s="59">
        <v>0</v>
      </c>
      <c r="X207" s="59">
        <v>0</v>
      </c>
      <c r="Y207" s="59">
        <v>106.30239999999999</v>
      </c>
      <c r="Z207" s="59">
        <v>0</v>
      </c>
      <c r="AA207" s="59">
        <v>0</v>
      </c>
      <c r="AB207" s="59">
        <v>0</v>
      </c>
      <c r="AC207" s="59">
        <v>0</v>
      </c>
      <c r="AE207" s="60"/>
      <c r="AF207" s="60"/>
    </row>
    <row r="208" spans="1:32" s="4" customFormat="1" ht="61.2" x14ac:dyDescent="0.3">
      <c r="A208" s="46" t="s">
        <v>377</v>
      </c>
      <c r="B208" s="47" t="s">
        <v>378</v>
      </c>
      <c r="C208" s="35" t="s">
        <v>69</v>
      </c>
      <c r="D208" s="48" t="s">
        <v>70</v>
      </c>
      <c r="E208" s="35" t="s">
        <v>69</v>
      </c>
      <c r="F208" s="48" t="s">
        <v>71</v>
      </c>
      <c r="G208" s="49">
        <v>22104</v>
      </c>
      <c r="H208" s="50" t="s">
        <v>216</v>
      </c>
      <c r="I208" s="51" t="s">
        <v>404</v>
      </c>
      <c r="J208" s="52" t="s">
        <v>405</v>
      </c>
      <c r="K208" s="53" t="s">
        <v>379</v>
      </c>
      <c r="L208" s="54" t="s">
        <v>379</v>
      </c>
      <c r="M208" s="55" t="s">
        <v>55</v>
      </c>
      <c r="N208" s="56">
        <v>2</v>
      </c>
      <c r="O208" s="57">
        <f>305*1.16</f>
        <v>353.79999999999995</v>
      </c>
      <c r="P208" s="58" t="s">
        <v>380</v>
      </c>
      <c r="Q208" s="57">
        <f t="shared" si="8"/>
        <v>707.59999999999991</v>
      </c>
      <c r="R208" s="61">
        <v>353.79999999999995</v>
      </c>
      <c r="S208" s="59">
        <v>0</v>
      </c>
      <c r="T208" s="59">
        <v>0</v>
      </c>
      <c r="U208" s="59">
        <v>0</v>
      </c>
      <c r="V208" s="59">
        <v>0</v>
      </c>
      <c r="W208" s="59">
        <v>0</v>
      </c>
      <c r="X208" s="59">
        <v>0</v>
      </c>
      <c r="Y208" s="59">
        <v>353.79999999999995</v>
      </c>
      <c r="Z208" s="59">
        <v>0</v>
      </c>
      <c r="AA208" s="59">
        <v>0</v>
      </c>
      <c r="AB208" s="59">
        <v>0</v>
      </c>
      <c r="AC208" s="59">
        <v>0</v>
      </c>
      <c r="AE208" s="60"/>
      <c r="AF208" s="60"/>
    </row>
    <row r="209" spans="1:32" s="4" customFormat="1" ht="61.2" x14ac:dyDescent="0.3">
      <c r="A209" s="46" t="s">
        <v>377</v>
      </c>
      <c r="B209" s="47" t="s">
        <v>378</v>
      </c>
      <c r="C209" s="35" t="s">
        <v>69</v>
      </c>
      <c r="D209" s="48" t="s">
        <v>70</v>
      </c>
      <c r="E209" s="35" t="s">
        <v>69</v>
      </c>
      <c r="F209" s="48" t="s">
        <v>71</v>
      </c>
      <c r="G209" s="49">
        <v>22104</v>
      </c>
      <c r="H209" s="50" t="s">
        <v>216</v>
      </c>
      <c r="I209" s="51" t="s">
        <v>406</v>
      </c>
      <c r="J209" s="52" t="s">
        <v>407</v>
      </c>
      <c r="K209" s="53" t="s">
        <v>379</v>
      </c>
      <c r="L209" s="54" t="s">
        <v>379</v>
      </c>
      <c r="M209" s="55" t="s">
        <v>55</v>
      </c>
      <c r="N209" s="56">
        <v>2</v>
      </c>
      <c r="O209" s="57">
        <f>231*1.16</f>
        <v>267.95999999999998</v>
      </c>
      <c r="P209" s="58" t="s">
        <v>380</v>
      </c>
      <c r="Q209" s="57">
        <f t="shared" si="8"/>
        <v>535.91999999999996</v>
      </c>
      <c r="R209" s="61">
        <v>267.95999999999998</v>
      </c>
      <c r="S209" s="59">
        <v>0</v>
      </c>
      <c r="T209" s="59">
        <v>0</v>
      </c>
      <c r="U209" s="59">
        <v>0</v>
      </c>
      <c r="V209" s="59">
        <v>0</v>
      </c>
      <c r="W209" s="59">
        <v>0</v>
      </c>
      <c r="X209" s="59">
        <v>0</v>
      </c>
      <c r="Y209" s="59">
        <v>267.95999999999998</v>
      </c>
      <c r="Z209" s="59">
        <v>0</v>
      </c>
      <c r="AA209" s="59">
        <v>0</v>
      </c>
      <c r="AB209" s="59">
        <v>0</v>
      </c>
      <c r="AC209" s="59">
        <v>0</v>
      </c>
      <c r="AE209" s="60"/>
      <c r="AF209" s="60"/>
    </row>
    <row r="210" spans="1:32" s="4" customFormat="1" ht="61.2" x14ac:dyDescent="0.3">
      <c r="A210" s="46" t="s">
        <v>377</v>
      </c>
      <c r="B210" s="47" t="s">
        <v>378</v>
      </c>
      <c r="C210" s="35" t="s">
        <v>69</v>
      </c>
      <c r="D210" s="48" t="s">
        <v>70</v>
      </c>
      <c r="E210" s="35" t="s">
        <v>69</v>
      </c>
      <c r="F210" s="48" t="s">
        <v>71</v>
      </c>
      <c r="G210" s="49">
        <v>22104</v>
      </c>
      <c r="H210" s="50" t="s">
        <v>216</v>
      </c>
      <c r="I210" s="51" t="s">
        <v>408</v>
      </c>
      <c r="J210" s="52" t="s">
        <v>409</v>
      </c>
      <c r="K210" s="53" t="s">
        <v>379</v>
      </c>
      <c r="L210" s="54" t="s">
        <v>379</v>
      </c>
      <c r="M210" s="55" t="s">
        <v>56</v>
      </c>
      <c r="N210" s="56">
        <v>2</v>
      </c>
      <c r="O210" s="57">
        <f>129.5*1.16</f>
        <v>150.22</v>
      </c>
      <c r="P210" s="58" t="s">
        <v>380</v>
      </c>
      <c r="Q210" s="57">
        <f t="shared" si="8"/>
        <v>300.44</v>
      </c>
      <c r="R210" s="61">
        <v>150.22</v>
      </c>
      <c r="S210" s="59">
        <v>0</v>
      </c>
      <c r="T210" s="59">
        <v>0</v>
      </c>
      <c r="U210" s="59">
        <v>0</v>
      </c>
      <c r="V210" s="59">
        <v>0</v>
      </c>
      <c r="W210" s="59">
        <v>0</v>
      </c>
      <c r="X210" s="59">
        <v>0</v>
      </c>
      <c r="Y210" s="59">
        <v>150.22</v>
      </c>
      <c r="Z210" s="59">
        <v>0</v>
      </c>
      <c r="AA210" s="59">
        <v>0</v>
      </c>
      <c r="AB210" s="59">
        <v>0</v>
      </c>
      <c r="AC210" s="59">
        <v>0</v>
      </c>
      <c r="AE210" s="60"/>
      <c r="AF210" s="60"/>
    </row>
    <row r="211" spans="1:32" s="4" customFormat="1" ht="61.2" x14ac:dyDescent="0.3">
      <c r="A211" s="46" t="s">
        <v>377</v>
      </c>
      <c r="B211" s="47" t="s">
        <v>378</v>
      </c>
      <c r="C211" s="35" t="s">
        <v>69</v>
      </c>
      <c r="D211" s="48" t="s">
        <v>70</v>
      </c>
      <c r="E211" s="35" t="s">
        <v>69</v>
      </c>
      <c r="F211" s="48" t="s">
        <v>71</v>
      </c>
      <c r="G211" s="49">
        <v>22104</v>
      </c>
      <c r="H211" s="50" t="s">
        <v>216</v>
      </c>
      <c r="I211" s="51" t="s">
        <v>375</v>
      </c>
      <c r="J211" s="52" t="s">
        <v>410</v>
      </c>
      <c r="K211" s="53" t="s">
        <v>379</v>
      </c>
      <c r="L211" s="54" t="s">
        <v>379</v>
      </c>
      <c r="M211" s="55" t="s">
        <v>383</v>
      </c>
      <c r="N211" s="56">
        <v>279</v>
      </c>
      <c r="O211" s="57">
        <f>29*1.16</f>
        <v>33.64</v>
      </c>
      <c r="P211" s="58" t="s">
        <v>380</v>
      </c>
      <c r="Q211" s="57">
        <f t="shared" si="8"/>
        <v>9385.56</v>
      </c>
      <c r="R211" s="61">
        <v>841</v>
      </c>
      <c r="S211" s="59">
        <v>2085.6799999999998</v>
      </c>
      <c r="T211" s="59">
        <v>0</v>
      </c>
      <c r="U211" s="59">
        <v>2085.6799999999998</v>
      </c>
      <c r="V211" s="59">
        <v>0</v>
      </c>
      <c r="W211" s="59">
        <v>1682</v>
      </c>
      <c r="X211" s="59">
        <v>0</v>
      </c>
      <c r="Y211" s="59">
        <v>1009.2</v>
      </c>
      <c r="Z211" s="59">
        <v>1682</v>
      </c>
      <c r="AA211" s="59">
        <v>0</v>
      </c>
      <c r="AB211" s="59">
        <v>0</v>
      </c>
      <c r="AC211" s="59">
        <v>0</v>
      </c>
      <c r="AE211" s="60"/>
      <c r="AF211" s="60"/>
    </row>
    <row r="212" spans="1:32" s="4" customFormat="1" ht="20.100000000000001" customHeight="1" x14ac:dyDescent="0.3">
      <c r="A212" s="46" t="s">
        <v>377</v>
      </c>
      <c r="B212" s="47" t="s">
        <v>378</v>
      </c>
      <c r="C212" s="35" t="s">
        <v>69</v>
      </c>
      <c r="D212" s="48" t="s">
        <v>70</v>
      </c>
      <c r="E212" s="35" t="s">
        <v>69</v>
      </c>
      <c r="F212" s="48" t="s">
        <v>71</v>
      </c>
      <c r="G212" s="49">
        <v>22104</v>
      </c>
      <c r="H212" s="50" t="s">
        <v>216</v>
      </c>
      <c r="I212" s="51" t="s">
        <v>411</v>
      </c>
      <c r="J212" s="52" t="s">
        <v>412</v>
      </c>
      <c r="K212" s="53" t="s">
        <v>379</v>
      </c>
      <c r="L212" s="54" t="s">
        <v>379</v>
      </c>
      <c r="M212" s="55" t="s">
        <v>56</v>
      </c>
      <c r="N212" s="56">
        <v>6</v>
      </c>
      <c r="O212" s="57">
        <f>93.9*1.16</f>
        <v>108.92399999999999</v>
      </c>
      <c r="P212" s="58" t="s">
        <v>380</v>
      </c>
      <c r="Q212" s="57">
        <f t="shared" si="8"/>
        <v>653.54399999999998</v>
      </c>
      <c r="R212" s="59">
        <v>0</v>
      </c>
      <c r="S212" s="59">
        <v>326.77199999999999</v>
      </c>
      <c r="T212" s="59">
        <v>0</v>
      </c>
      <c r="U212" s="59">
        <v>326.77199999999999</v>
      </c>
      <c r="V212" s="59">
        <v>0</v>
      </c>
      <c r="W212" s="59">
        <v>0</v>
      </c>
      <c r="X212" s="59">
        <v>0</v>
      </c>
      <c r="Y212" s="59">
        <v>0</v>
      </c>
      <c r="Z212" s="59">
        <v>0</v>
      </c>
      <c r="AA212" s="59">
        <v>0</v>
      </c>
      <c r="AB212" s="59">
        <v>0</v>
      </c>
      <c r="AC212" s="59">
        <v>0</v>
      </c>
      <c r="AE212" s="60"/>
      <c r="AF212" s="60"/>
    </row>
    <row r="213" spans="1:32" s="4" customFormat="1" ht="20.100000000000001" customHeight="1" x14ac:dyDescent="0.3">
      <c r="A213" s="46" t="s">
        <v>377</v>
      </c>
      <c r="B213" s="47" t="s">
        <v>378</v>
      </c>
      <c r="C213" s="35" t="s">
        <v>69</v>
      </c>
      <c r="D213" s="48" t="s">
        <v>70</v>
      </c>
      <c r="E213" s="35" t="s">
        <v>69</v>
      </c>
      <c r="F213" s="48" t="s">
        <v>71</v>
      </c>
      <c r="G213" s="49">
        <v>22104</v>
      </c>
      <c r="H213" s="50" t="s">
        <v>216</v>
      </c>
      <c r="I213" s="51" t="s">
        <v>411</v>
      </c>
      <c r="J213" s="52" t="s">
        <v>412</v>
      </c>
      <c r="K213" s="53" t="s">
        <v>379</v>
      </c>
      <c r="L213" s="54" t="s">
        <v>379</v>
      </c>
      <c r="M213" s="55" t="s">
        <v>56</v>
      </c>
      <c r="N213" s="56">
        <v>2</v>
      </c>
      <c r="O213" s="57">
        <f>75.47*1.16</f>
        <v>87.545199999999994</v>
      </c>
      <c r="P213" s="58" t="s">
        <v>380</v>
      </c>
      <c r="Q213" s="57">
        <f t="shared" si="8"/>
        <v>175.09039999999999</v>
      </c>
      <c r="R213" s="59">
        <v>0</v>
      </c>
      <c r="S213" s="59">
        <v>87.545199999999994</v>
      </c>
      <c r="T213" s="59">
        <v>0</v>
      </c>
      <c r="U213" s="59">
        <v>87.545199999999994</v>
      </c>
      <c r="V213" s="59">
        <v>0</v>
      </c>
      <c r="W213" s="59">
        <v>0</v>
      </c>
      <c r="X213" s="59">
        <v>0</v>
      </c>
      <c r="Y213" s="59">
        <v>0</v>
      </c>
      <c r="Z213" s="59">
        <v>0</v>
      </c>
      <c r="AA213" s="59">
        <v>0</v>
      </c>
      <c r="AB213" s="59">
        <v>0</v>
      </c>
      <c r="AC213" s="59">
        <v>0</v>
      </c>
      <c r="AE213" s="60"/>
      <c r="AF213" s="60"/>
    </row>
    <row r="214" spans="1:32" s="4" customFormat="1" ht="20.100000000000001" customHeight="1" x14ac:dyDescent="0.3">
      <c r="A214" s="46" t="s">
        <v>377</v>
      </c>
      <c r="B214" s="47" t="s">
        <v>378</v>
      </c>
      <c r="C214" s="35" t="s">
        <v>69</v>
      </c>
      <c r="D214" s="48" t="s">
        <v>70</v>
      </c>
      <c r="E214" s="35" t="s">
        <v>69</v>
      </c>
      <c r="F214" s="48" t="s">
        <v>71</v>
      </c>
      <c r="G214" s="49">
        <v>22104</v>
      </c>
      <c r="H214" s="50" t="s">
        <v>216</v>
      </c>
      <c r="I214" s="51" t="s">
        <v>411</v>
      </c>
      <c r="J214" s="52" t="s">
        <v>412</v>
      </c>
      <c r="K214" s="53" t="s">
        <v>379</v>
      </c>
      <c r="L214" s="54" t="s">
        <v>379</v>
      </c>
      <c r="M214" s="55" t="s">
        <v>56</v>
      </c>
      <c r="N214" s="56">
        <v>6</v>
      </c>
      <c r="O214" s="57">
        <f>91.38*1.16</f>
        <v>106.00079999999998</v>
      </c>
      <c r="P214" s="58" t="s">
        <v>380</v>
      </c>
      <c r="Q214" s="57">
        <f t="shared" si="8"/>
        <v>636.00479999999993</v>
      </c>
      <c r="R214" s="59">
        <v>0</v>
      </c>
      <c r="S214" s="59">
        <v>0</v>
      </c>
      <c r="T214" s="59">
        <v>0</v>
      </c>
      <c r="U214" s="59">
        <v>0</v>
      </c>
      <c r="V214" s="59">
        <v>0</v>
      </c>
      <c r="W214" s="59">
        <v>318.00239999999997</v>
      </c>
      <c r="X214" s="59">
        <v>0</v>
      </c>
      <c r="Y214" s="59">
        <v>0</v>
      </c>
      <c r="Z214" s="59">
        <v>318.00239999999997</v>
      </c>
      <c r="AA214" s="59">
        <v>0</v>
      </c>
      <c r="AB214" s="59">
        <v>0</v>
      </c>
      <c r="AC214" s="59">
        <v>0</v>
      </c>
      <c r="AE214" s="60"/>
      <c r="AF214" s="60"/>
    </row>
    <row r="215" spans="1:32" s="4" customFormat="1" ht="61.2" x14ac:dyDescent="0.3">
      <c r="A215" s="46" t="s">
        <v>377</v>
      </c>
      <c r="B215" s="47" t="s">
        <v>378</v>
      </c>
      <c r="C215" s="35" t="s">
        <v>69</v>
      </c>
      <c r="D215" s="48" t="s">
        <v>70</v>
      </c>
      <c r="E215" s="35" t="s">
        <v>69</v>
      </c>
      <c r="F215" s="48" t="s">
        <v>71</v>
      </c>
      <c r="G215" s="49">
        <v>22104</v>
      </c>
      <c r="H215" s="50" t="s">
        <v>216</v>
      </c>
      <c r="I215" s="51" t="s">
        <v>413</v>
      </c>
      <c r="J215" s="52" t="s">
        <v>414</v>
      </c>
      <c r="K215" s="53" t="s">
        <v>379</v>
      </c>
      <c r="L215" s="54" t="s">
        <v>379</v>
      </c>
      <c r="M215" s="55" t="s">
        <v>383</v>
      </c>
      <c r="N215" s="56">
        <v>13</v>
      </c>
      <c r="O215" s="57">
        <f>2*1.16</f>
        <v>2.3199999999999998</v>
      </c>
      <c r="P215" s="58" t="s">
        <v>380</v>
      </c>
      <c r="Q215" s="57">
        <f t="shared" si="8"/>
        <v>30.159999999999997</v>
      </c>
      <c r="R215" s="59">
        <v>0</v>
      </c>
      <c r="S215" s="59">
        <v>0</v>
      </c>
      <c r="T215" s="59">
        <v>0</v>
      </c>
      <c r="U215" s="59">
        <v>0</v>
      </c>
      <c r="V215" s="59">
        <v>0</v>
      </c>
      <c r="W215" s="59">
        <v>0</v>
      </c>
      <c r="X215" s="59">
        <v>0</v>
      </c>
      <c r="Y215" s="59">
        <v>30.159999999999997</v>
      </c>
      <c r="Z215" s="59">
        <v>0</v>
      </c>
      <c r="AA215" s="59">
        <v>0</v>
      </c>
      <c r="AB215" s="59">
        <v>0</v>
      </c>
      <c r="AC215" s="59">
        <v>0</v>
      </c>
      <c r="AE215" s="60"/>
      <c r="AF215" s="60"/>
    </row>
    <row r="216" spans="1:32" s="4" customFormat="1" ht="61.2" x14ac:dyDescent="0.3">
      <c r="A216" s="46" t="s">
        <v>377</v>
      </c>
      <c r="B216" s="47" t="s">
        <v>378</v>
      </c>
      <c r="C216" s="35" t="s">
        <v>69</v>
      </c>
      <c r="D216" s="48" t="s">
        <v>70</v>
      </c>
      <c r="E216" s="35" t="s">
        <v>69</v>
      </c>
      <c r="F216" s="48" t="s">
        <v>71</v>
      </c>
      <c r="G216" s="49">
        <v>22104</v>
      </c>
      <c r="H216" s="50" t="s">
        <v>216</v>
      </c>
      <c r="I216" s="51" t="s">
        <v>413</v>
      </c>
      <c r="J216" s="52" t="s">
        <v>414</v>
      </c>
      <c r="K216" s="53" t="s">
        <v>379</v>
      </c>
      <c r="L216" s="54" t="s">
        <v>379</v>
      </c>
      <c r="M216" s="55" t="s">
        <v>383</v>
      </c>
      <c r="N216" s="56">
        <v>1</v>
      </c>
      <c r="O216" s="57">
        <f>1.41*1.16</f>
        <v>1.6355999999999997</v>
      </c>
      <c r="P216" s="58" t="s">
        <v>380</v>
      </c>
      <c r="Q216" s="57">
        <f>SUM(R216:AC216)</f>
        <v>1.6355999999999997</v>
      </c>
      <c r="R216" s="59">
        <v>0</v>
      </c>
      <c r="S216" s="59">
        <v>0</v>
      </c>
      <c r="T216" s="59">
        <v>0</v>
      </c>
      <c r="U216" s="59">
        <v>0</v>
      </c>
      <c r="V216" s="59">
        <v>0</v>
      </c>
      <c r="W216" s="59">
        <v>0</v>
      </c>
      <c r="X216" s="59">
        <v>0</v>
      </c>
      <c r="Y216" s="59">
        <v>1.6355999999999997</v>
      </c>
      <c r="Z216" s="59">
        <v>0</v>
      </c>
      <c r="AA216" s="59">
        <v>0</v>
      </c>
      <c r="AB216" s="59">
        <v>0</v>
      </c>
      <c r="AC216" s="59">
        <v>0</v>
      </c>
      <c r="AE216" s="60"/>
      <c r="AF216" s="60"/>
    </row>
    <row r="217" spans="1:32" s="4" customFormat="1" ht="27.6" x14ac:dyDescent="0.3">
      <c r="A217" s="46" t="s">
        <v>377</v>
      </c>
      <c r="B217" s="47" t="s">
        <v>378</v>
      </c>
      <c r="C217" s="35" t="s">
        <v>69</v>
      </c>
      <c r="D217" s="48" t="s">
        <v>70</v>
      </c>
      <c r="E217" s="35" t="s">
        <v>69</v>
      </c>
      <c r="F217" s="48" t="s">
        <v>71</v>
      </c>
      <c r="G217" s="49">
        <v>24601</v>
      </c>
      <c r="H217" s="50" t="s">
        <v>217</v>
      </c>
      <c r="I217" s="51" t="s">
        <v>415</v>
      </c>
      <c r="J217" s="52" t="s">
        <v>416</v>
      </c>
      <c r="K217" s="53" t="s">
        <v>379</v>
      </c>
      <c r="L217" s="54" t="s">
        <v>379</v>
      </c>
      <c r="M217" s="55" t="s">
        <v>383</v>
      </c>
      <c r="N217" s="56">
        <v>15</v>
      </c>
      <c r="O217" s="57">
        <f>54*1.16</f>
        <v>62.639999999999993</v>
      </c>
      <c r="P217" s="58" t="s">
        <v>380</v>
      </c>
      <c r="Q217" s="57">
        <f>SUM(R217:AC217)</f>
        <v>939.59999999999991</v>
      </c>
      <c r="R217" s="59">
        <v>939.59999999999991</v>
      </c>
      <c r="S217" s="59">
        <v>0</v>
      </c>
      <c r="T217" s="59">
        <v>0</v>
      </c>
      <c r="U217" s="59">
        <v>0</v>
      </c>
      <c r="V217" s="59">
        <v>0</v>
      </c>
      <c r="W217" s="59">
        <v>0</v>
      </c>
      <c r="X217" s="59">
        <v>0</v>
      </c>
      <c r="Y217" s="59">
        <v>0</v>
      </c>
      <c r="Z217" s="59">
        <v>0</v>
      </c>
      <c r="AA217" s="59">
        <v>0</v>
      </c>
      <c r="AB217" s="59">
        <v>0</v>
      </c>
      <c r="AC217" s="59">
        <v>0</v>
      </c>
      <c r="AE217" s="60"/>
      <c r="AF217" s="60"/>
    </row>
    <row r="218" spans="1:32" s="4" customFormat="1" ht="27.6" x14ac:dyDescent="0.3">
      <c r="A218" s="46" t="s">
        <v>377</v>
      </c>
      <c r="B218" s="47" t="s">
        <v>378</v>
      </c>
      <c r="C218" s="35" t="s">
        <v>69</v>
      </c>
      <c r="D218" s="48" t="s">
        <v>70</v>
      </c>
      <c r="E218" s="35" t="s">
        <v>69</v>
      </c>
      <c r="F218" s="48" t="s">
        <v>71</v>
      </c>
      <c r="G218" s="49">
        <v>24601</v>
      </c>
      <c r="H218" s="50" t="s">
        <v>217</v>
      </c>
      <c r="I218" s="51" t="s">
        <v>417</v>
      </c>
      <c r="J218" s="52" t="s">
        <v>416</v>
      </c>
      <c r="K218" s="53" t="s">
        <v>379</v>
      </c>
      <c r="L218" s="54" t="s">
        <v>379</v>
      </c>
      <c r="M218" s="55" t="s">
        <v>383</v>
      </c>
      <c r="N218" s="56">
        <v>4</v>
      </c>
      <c r="O218" s="57">
        <f>111*1.16</f>
        <v>128.76</v>
      </c>
      <c r="P218" s="58" t="s">
        <v>380</v>
      </c>
      <c r="Q218" s="57">
        <f t="shared" ref="Q218:Q219" si="9">SUM(R218:AC218)</f>
        <v>515.04</v>
      </c>
      <c r="R218" s="59">
        <v>515.04</v>
      </c>
      <c r="S218" s="59">
        <v>0</v>
      </c>
      <c r="T218" s="59">
        <v>0</v>
      </c>
      <c r="U218" s="59">
        <v>0</v>
      </c>
      <c r="V218" s="59">
        <v>0</v>
      </c>
      <c r="W218" s="59">
        <v>0</v>
      </c>
      <c r="X218" s="59">
        <v>0</v>
      </c>
      <c r="Y218" s="59">
        <v>0</v>
      </c>
      <c r="Z218" s="59">
        <v>0</v>
      </c>
      <c r="AA218" s="59">
        <v>0</v>
      </c>
      <c r="AB218" s="59">
        <v>0</v>
      </c>
      <c r="AC218" s="59">
        <v>0</v>
      </c>
      <c r="AE218" s="60"/>
      <c r="AF218" s="60"/>
    </row>
    <row r="219" spans="1:32" s="4" customFormat="1" ht="27.6" x14ac:dyDescent="0.3">
      <c r="A219" s="46" t="s">
        <v>377</v>
      </c>
      <c r="B219" s="47" t="s">
        <v>378</v>
      </c>
      <c r="C219" s="35" t="s">
        <v>69</v>
      </c>
      <c r="D219" s="48" t="s">
        <v>70</v>
      </c>
      <c r="E219" s="35" t="s">
        <v>69</v>
      </c>
      <c r="F219" s="48" t="s">
        <v>71</v>
      </c>
      <c r="G219" s="49">
        <v>24601</v>
      </c>
      <c r="H219" s="50" t="s">
        <v>217</v>
      </c>
      <c r="I219" s="51" t="s">
        <v>418</v>
      </c>
      <c r="J219" s="52" t="s">
        <v>416</v>
      </c>
      <c r="K219" s="53" t="s">
        <v>379</v>
      </c>
      <c r="L219" s="54" t="s">
        <v>379</v>
      </c>
      <c r="M219" s="55" t="s">
        <v>383</v>
      </c>
      <c r="N219" s="56">
        <v>1</v>
      </c>
      <c r="O219" s="57">
        <f>39.1*1.16</f>
        <v>45.356000000000002</v>
      </c>
      <c r="P219" s="58" t="s">
        <v>380</v>
      </c>
      <c r="Q219" s="57">
        <f t="shared" si="9"/>
        <v>45.356000000000002</v>
      </c>
      <c r="R219" s="59">
        <v>45.356000000000002</v>
      </c>
      <c r="S219" s="59">
        <v>0</v>
      </c>
      <c r="T219" s="59">
        <v>0</v>
      </c>
      <c r="U219" s="59">
        <v>0</v>
      </c>
      <c r="V219" s="59">
        <v>0</v>
      </c>
      <c r="W219" s="59">
        <v>0</v>
      </c>
      <c r="X219" s="59">
        <v>0</v>
      </c>
      <c r="Y219" s="59">
        <v>0</v>
      </c>
      <c r="Z219" s="59">
        <v>0</v>
      </c>
      <c r="AA219" s="59">
        <v>0</v>
      </c>
      <c r="AB219" s="59">
        <v>0</v>
      </c>
      <c r="AC219" s="59">
        <v>0</v>
      </c>
      <c r="AE219" s="60"/>
      <c r="AF219" s="60"/>
    </row>
    <row r="220" spans="1:32" s="4" customFormat="1" ht="112.2" x14ac:dyDescent="0.3">
      <c r="A220" s="46" t="s">
        <v>377</v>
      </c>
      <c r="B220" s="47" t="s">
        <v>378</v>
      </c>
      <c r="C220" s="35" t="s">
        <v>69</v>
      </c>
      <c r="D220" s="48" t="s">
        <v>70</v>
      </c>
      <c r="E220" s="35" t="s">
        <v>69</v>
      </c>
      <c r="F220" s="48" t="s">
        <v>71</v>
      </c>
      <c r="G220" s="49">
        <v>26102</v>
      </c>
      <c r="H220" s="50" t="s">
        <v>419</v>
      </c>
      <c r="I220" s="51" t="s">
        <v>420</v>
      </c>
      <c r="J220" s="52" t="s">
        <v>421</v>
      </c>
      <c r="K220" s="53" t="s">
        <v>379</v>
      </c>
      <c r="L220" s="54" t="s">
        <v>379</v>
      </c>
      <c r="M220" s="55" t="s">
        <v>383</v>
      </c>
      <c r="N220" s="56">
        <v>917</v>
      </c>
      <c r="O220" s="57">
        <v>100</v>
      </c>
      <c r="P220" s="58" t="s">
        <v>380</v>
      </c>
      <c r="Q220" s="57">
        <f>SUM(R220:AC220)</f>
        <v>91700</v>
      </c>
      <c r="R220" s="59">
        <v>0</v>
      </c>
      <c r="S220" s="59">
        <v>8700</v>
      </c>
      <c r="T220" s="59">
        <v>8600</v>
      </c>
      <c r="U220" s="59">
        <v>8600</v>
      </c>
      <c r="V220" s="59">
        <v>8600</v>
      </c>
      <c r="W220" s="59">
        <v>8600</v>
      </c>
      <c r="X220" s="59">
        <v>8600</v>
      </c>
      <c r="Y220" s="59">
        <v>8600</v>
      </c>
      <c r="Z220" s="59">
        <v>8600</v>
      </c>
      <c r="AA220" s="59">
        <v>8600</v>
      </c>
      <c r="AB220" s="59">
        <v>14200</v>
      </c>
      <c r="AC220" s="59">
        <v>0</v>
      </c>
      <c r="AE220" s="60"/>
      <c r="AF220" s="60"/>
    </row>
    <row r="221" spans="1:32" s="4" customFormat="1" ht="40.799999999999997" x14ac:dyDescent="0.3">
      <c r="A221" s="46" t="s">
        <v>377</v>
      </c>
      <c r="B221" s="47" t="s">
        <v>378</v>
      </c>
      <c r="C221" s="35" t="s">
        <v>69</v>
      </c>
      <c r="D221" s="48" t="s">
        <v>70</v>
      </c>
      <c r="E221" s="35" t="s">
        <v>69</v>
      </c>
      <c r="F221" s="48" t="s">
        <v>71</v>
      </c>
      <c r="G221" s="49">
        <v>29401</v>
      </c>
      <c r="H221" s="50" t="s">
        <v>422</v>
      </c>
      <c r="I221" s="51" t="s">
        <v>423</v>
      </c>
      <c r="J221" s="52" t="s">
        <v>424</v>
      </c>
      <c r="K221" s="53" t="s">
        <v>379</v>
      </c>
      <c r="L221" s="54" t="s">
        <v>379</v>
      </c>
      <c r="M221" s="55" t="s">
        <v>383</v>
      </c>
      <c r="N221" s="56">
        <v>4</v>
      </c>
      <c r="O221" s="57">
        <f>109.92*1.16</f>
        <v>127.5072</v>
      </c>
      <c r="P221" s="58" t="s">
        <v>380</v>
      </c>
      <c r="Q221" s="57">
        <f t="shared" ref="Q221:Q223" si="10">SUM(R221:AC221)</f>
        <v>510.02879999999999</v>
      </c>
      <c r="R221" s="59">
        <v>0</v>
      </c>
      <c r="S221" s="59">
        <v>510.02879999999999</v>
      </c>
      <c r="T221" s="59">
        <v>0</v>
      </c>
      <c r="U221" s="59">
        <v>0</v>
      </c>
      <c r="V221" s="59">
        <v>0</v>
      </c>
      <c r="W221" s="59">
        <v>0</v>
      </c>
      <c r="X221" s="59">
        <v>0</v>
      </c>
      <c r="Y221" s="59">
        <v>0</v>
      </c>
      <c r="Z221" s="59">
        <v>0</v>
      </c>
      <c r="AA221" s="59">
        <v>0</v>
      </c>
      <c r="AB221" s="59">
        <v>0</v>
      </c>
      <c r="AC221" s="59">
        <v>0</v>
      </c>
      <c r="AE221" s="60"/>
      <c r="AF221" s="60"/>
    </row>
    <row r="222" spans="1:32" s="4" customFormat="1" ht="40.799999999999997" x14ac:dyDescent="0.3">
      <c r="A222" s="46" t="s">
        <v>377</v>
      </c>
      <c r="B222" s="47" t="s">
        <v>378</v>
      </c>
      <c r="C222" s="35" t="s">
        <v>69</v>
      </c>
      <c r="D222" s="48" t="s">
        <v>70</v>
      </c>
      <c r="E222" s="35" t="s">
        <v>69</v>
      </c>
      <c r="F222" s="48" t="s">
        <v>71</v>
      </c>
      <c r="G222" s="49">
        <v>29401</v>
      </c>
      <c r="H222" s="50" t="s">
        <v>422</v>
      </c>
      <c r="I222" s="51" t="s">
        <v>425</v>
      </c>
      <c r="J222" s="52" t="s">
        <v>426</v>
      </c>
      <c r="K222" s="53" t="s">
        <v>379</v>
      </c>
      <c r="L222" s="54" t="s">
        <v>379</v>
      </c>
      <c r="M222" s="55" t="s">
        <v>383</v>
      </c>
      <c r="N222" s="56">
        <v>9</v>
      </c>
      <c r="O222" s="57">
        <f>111.21*1.16</f>
        <v>129.00359999999998</v>
      </c>
      <c r="P222" s="58" t="s">
        <v>380</v>
      </c>
      <c r="Q222" s="57">
        <f t="shared" si="10"/>
        <v>1161.0323999999998</v>
      </c>
      <c r="R222" s="59">
        <v>0</v>
      </c>
      <c r="S222" s="59">
        <v>1161.0323999999998</v>
      </c>
      <c r="T222" s="59">
        <v>0</v>
      </c>
      <c r="U222" s="59">
        <v>0</v>
      </c>
      <c r="V222" s="59">
        <v>0</v>
      </c>
      <c r="W222" s="59">
        <v>0</v>
      </c>
      <c r="X222" s="59">
        <v>0</v>
      </c>
      <c r="Y222" s="59">
        <v>0</v>
      </c>
      <c r="Z222" s="59">
        <v>0</v>
      </c>
      <c r="AA222" s="59">
        <v>0</v>
      </c>
      <c r="AB222" s="59">
        <v>0</v>
      </c>
      <c r="AC222" s="59">
        <v>0</v>
      </c>
      <c r="AE222" s="60"/>
      <c r="AF222" s="60"/>
    </row>
    <row r="223" spans="1:32" s="4" customFormat="1" ht="40.799999999999997" x14ac:dyDescent="0.3">
      <c r="A223" s="46" t="s">
        <v>377</v>
      </c>
      <c r="B223" s="47" t="s">
        <v>378</v>
      </c>
      <c r="C223" s="35" t="s">
        <v>69</v>
      </c>
      <c r="D223" s="48" t="s">
        <v>70</v>
      </c>
      <c r="E223" s="35" t="s">
        <v>69</v>
      </c>
      <c r="F223" s="48" t="s">
        <v>71</v>
      </c>
      <c r="G223" s="49">
        <v>29401</v>
      </c>
      <c r="H223" s="50" t="s">
        <v>422</v>
      </c>
      <c r="I223" s="51" t="s">
        <v>425</v>
      </c>
      <c r="J223" s="52" t="s">
        <v>426</v>
      </c>
      <c r="K223" s="53" t="s">
        <v>379</v>
      </c>
      <c r="L223" s="54" t="s">
        <v>379</v>
      </c>
      <c r="M223" s="55" t="s">
        <v>383</v>
      </c>
      <c r="N223" s="56">
        <v>1</v>
      </c>
      <c r="O223" s="57">
        <f>111.15*1.16</f>
        <v>128.934</v>
      </c>
      <c r="P223" s="58" t="s">
        <v>380</v>
      </c>
      <c r="Q223" s="57">
        <f t="shared" si="10"/>
        <v>128.934</v>
      </c>
      <c r="R223" s="59">
        <v>0</v>
      </c>
      <c r="S223" s="59">
        <v>128.934</v>
      </c>
      <c r="T223" s="59">
        <v>0</v>
      </c>
      <c r="U223" s="59">
        <v>0</v>
      </c>
      <c r="V223" s="59">
        <v>0</v>
      </c>
      <c r="W223" s="59">
        <v>0</v>
      </c>
      <c r="X223" s="59">
        <v>0</v>
      </c>
      <c r="Y223" s="59">
        <v>0</v>
      </c>
      <c r="Z223" s="59">
        <v>0</v>
      </c>
      <c r="AA223" s="59">
        <v>0</v>
      </c>
      <c r="AB223" s="59">
        <v>0</v>
      </c>
      <c r="AC223" s="59">
        <v>0</v>
      </c>
      <c r="AE223" s="60"/>
      <c r="AF223" s="60"/>
    </row>
    <row r="224" spans="1:32" s="4" customFormat="1" ht="27.6" x14ac:dyDescent="0.3">
      <c r="A224" s="46" t="s">
        <v>377</v>
      </c>
      <c r="B224" s="47" t="s">
        <v>378</v>
      </c>
      <c r="C224" s="35" t="s">
        <v>69</v>
      </c>
      <c r="D224" s="48" t="s">
        <v>70</v>
      </c>
      <c r="E224" s="35" t="s">
        <v>69</v>
      </c>
      <c r="F224" s="48" t="s">
        <v>71</v>
      </c>
      <c r="G224" s="49">
        <v>31401</v>
      </c>
      <c r="H224" s="50" t="s">
        <v>427</v>
      </c>
      <c r="I224" s="51" t="s">
        <v>428</v>
      </c>
      <c r="J224" s="52" t="s">
        <v>427</v>
      </c>
      <c r="K224" s="53" t="s">
        <v>379</v>
      </c>
      <c r="L224" s="54" t="s">
        <v>379</v>
      </c>
      <c r="M224" s="55" t="s">
        <v>429</v>
      </c>
      <c r="N224" s="56">
        <v>1</v>
      </c>
      <c r="O224" s="57">
        <v>2800</v>
      </c>
      <c r="P224" s="58" t="s">
        <v>380</v>
      </c>
      <c r="Q224" s="57">
        <f>SUM(R224:AC224)</f>
        <v>2800</v>
      </c>
      <c r="R224" s="59">
        <v>2800</v>
      </c>
      <c r="S224" s="59">
        <v>0</v>
      </c>
      <c r="T224" s="59">
        <v>0</v>
      </c>
      <c r="U224" s="59">
        <v>0</v>
      </c>
      <c r="V224" s="59">
        <v>0</v>
      </c>
      <c r="W224" s="59">
        <v>0</v>
      </c>
      <c r="X224" s="59">
        <v>0</v>
      </c>
      <c r="Y224" s="59">
        <v>0</v>
      </c>
      <c r="Z224" s="59">
        <v>0</v>
      </c>
      <c r="AA224" s="59">
        <v>0</v>
      </c>
      <c r="AB224" s="59">
        <v>0</v>
      </c>
      <c r="AC224" s="59">
        <v>0</v>
      </c>
      <c r="AE224" s="60"/>
      <c r="AF224" s="60"/>
    </row>
    <row r="225" spans="1:32" s="4" customFormat="1" ht="27.6" x14ac:dyDescent="0.3">
      <c r="A225" s="46" t="s">
        <v>377</v>
      </c>
      <c r="B225" s="47" t="s">
        <v>378</v>
      </c>
      <c r="C225" s="35" t="s">
        <v>69</v>
      </c>
      <c r="D225" s="48" t="s">
        <v>70</v>
      </c>
      <c r="E225" s="35" t="s">
        <v>69</v>
      </c>
      <c r="F225" s="48" t="s">
        <v>71</v>
      </c>
      <c r="G225" s="49">
        <v>31401</v>
      </c>
      <c r="H225" s="50" t="s">
        <v>427</v>
      </c>
      <c r="I225" s="51" t="s">
        <v>428</v>
      </c>
      <c r="J225" s="52" t="s">
        <v>427</v>
      </c>
      <c r="K225" s="53" t="s">
        <v>379</v>
      </c>
      <c r="L225" s="54" t="s">
        <v>379</v>
      </c>
      <c r="M225" s="55" t="s">
        <v>429</v>
      </c>
      <c r="N225" s="56">
        <v>11</v>
      </c>
      <c r="O225" s="57">
        <v>3200</v>
      </c>
      <c r="P225" s="58" t="s">
        <v>380</v>
      </c>
      <c r="Q225" s="57">
        <f>SUM(R225:AC225)</f>
        <v>35200</v>
      </c>
      <c r="R225" s="59">
        <v>0</v>
      </c>
      <c r="S225" s="59">
        <v>3200</v>
      </c>
      <c r="T225" s="59">
        <v>3200</v>
      </c>
      <c r="U225" s="59">
        <v>3200</v>
      </c>
      <c r="V225" s="59">
        <v>3200</v>
      </c>
      <c r="W225" s="59">
        <v>3200</v>
      </c>
      <c r="X225" s="59">
        <v>3200</v>
      </c>
      <c r="Y225" s="59">
        <v>3200</v>
      </c>
      <c r="Z225" s="59">
        <v>3200</v>
      </c>
      <c r="AA225" s="59">
        <v>3200</v>
      </c>
      <c r="AB225" s="59">
        <v>3200</v>
      </c>
      <c r="AC225" s="59">
        <v>3200</v>
      </c>
      <c r="AE225" s="60"/>
      <c r="AF225" s="60"/>
    </row>
    <row r="226" spans="1:32" s="4" customFormat="1" ht="55.2" x14ac:dyDescent="0.3">
      <c r="A226" s="46" t="s">
        <v>377</v>
      </c>
      <c r="B226" s="47" t="s">
        <v>378</v>
      </c>
      <c r="C226" s="35" t="s">
        <v>69</v>
      </c>
      <c r="D226" s="48" t="s">
        <v>70</v>
      </c>
      <c r="E226" s="35" t="s">
        <v>69</v>
      </c>
      <c r="F226" s="48" t="s">
        <v>71</v>
      </c>
      <c r="G226" s="49">
        <v>32601</v>
      </c>
      <c r="H226" s="50" t="s">
        <v>225</v>
      </c>
      <c r="I226" s="51" t="s">
        <v>428</v>
      </c>
      <c r="J226" s="52" t="s">
        <v>225</v>
      </c>
      <c r="K226" s="53" t="s">
        <v>430</v>
      </c>
      <c r="L226" s="55" t="s">
        <v>431</v>
      </c>
      <c r="M226" s="55" t="s">
        <v>429</v>
      </c>
      <c r="N226" s="56">
        <v>1</v>
      </c>
      <c r="O226" s="57">
        <v>2600</v>
      </c>
      <c r="P226" s="58" t="s">
        <v>432</v>
      </c>
      <c r="Q226" s="57">
        <f>SUM(R226:AC226)</f>
        <v>2600</v>
      </c>
      <c r="R226" s="59">
        <v>0</v>
      </c>
      <c r="S226" s="59">
        <v>2600</v>
      </c>
      <c r="T226" s="59">
        <v>0</v>
      </c>
      <c r="U226" s="59">
        <v>0</v>
      </c>
      <c r="V226" s="59">
        <v>0</v>
      </c>
      <c r="W226" s="59">
        <v>0</v>
      </c>
      <c r="X226" s="59">
        <v>0</v>
      </c>
      <c r="Y226" s="59">
        <v>0</v>
      </c>
      <c r="Z226" s="59">
        <v>0</v>
      </c>
      <c r="AA226" s="59">
        <v>0</v>
      </c>
      <c r="AB226" s="59">
        <v>0</v>
      </c>
      <c r="AC226" s="59">
        <v>0</v>
      </c>
      <c r="AE226" s="60"/>
      <c r="AF226" s="60"/>
    </row>
    <row r="227" spans="1:32" s="4" customFormat="1" ht="55.2" x14ac:dyDescent="0.3">
      <c r="A227" s="46" t="s">
        <v>377</v>
      </c>
      <c r="B227" s="47" t="s">
        <v>378</v>
      </c>
      <c r="C227" s="35" t="s">
        <v>69</v>
      </c>
      <c r="D227" s="48" t="s">
        <v>70</v>
      </c>
      <c r="E227" s="35" t="s">
        <v>69</v>
      </c>
      <c r="F227" s="48" t="s">
        <v>71</v>
      </c>
      <c r="G227" s="49">
        <v>32601</v>
      </c>
      <c r="H227" s="50" t="s">
        <v>225</v>
      </c>
      <c r="I227" s="51" t="s">
        <v>428</v>
      </c>
      <c r="J227" s="52" t="s">
        <v>225</v>
      </c>
      <c r="K227" s="53" t="s">
        <v>430</v>
      </c>
      <c r="L227" s="55" t="s">
        <v>431</v>
      </c>
      <c r="M227" s="55" t="s">
        <v>429</v>
      </c>
      <c r="N227" s="56">
        <v>9</v>
      </c>
      <c r="O227" s="57">
        <v>2700</v>
      </c>
      <c r="P227" s="58" t="s">
        <v>432</v>
      </c>
      <c r="Q227" s="57">
        <f t="shared" ref="Q227:Q228" si="11">SUM(R227:AC227)</f>
        <v>24300</v>
      </c>
      <c r="R227" s="59">
        <v>0</v>
      </c>
      <c r="S227" s="59">
        <v>0</v>
      </c>
      <c r="T227" s="59">
        <v>2700</v>
      </c>
      <c r="U227" s="59">
        <v>2700</v>
      </c>
      <c r="V227" s="59">
        <v>2700</v>
      </c>
      <c r="W227" s="59">
        <v>2700</v>
      </c>
      <c r="X227" s="59">
        <v>2700</v>
      </c>
      <c r="Y227" s="59">
        <v>2700</v>
      </c>
      <c r="Z227" s="59">
        <v>2700</v>
      </c>
      <c r="AA227" s="59">
        <v>2700</v>
      </c>
      <c r="AB227" s="59">
        <v>2700</v>
      </c>
      <c r="AC227" s="59">
        <v>0</v>
      </c>
      <c r="AE227" s="60"/>
      <c r="AF227" s="60"/>
    </row>
    <row r="228" spans="1:32" s="4" customFormat="1" ht="55.2" x14ac:dyDescent="0.3">
      <c r="A228" s="46" t="s">
        <v>377</v>
      </c>
      <c r="B228" s="47" t="s">
        <v>378</v>
      </c>
      <c r="C228" s="35" t="s">
        <v>69</v>
      </c>
      <c r="D228" s="48" t="s">
        <v>70</v>
      </c>
      <c r="E228" s="35" t="s">
        <v>69</v>
      </c>
      <c r="F228" s="48" t="s">
        <v>71</v>
      </c>
      <c r="G228" s="49">
        <v>32601</v>
      </c>
      <c r="H228" s="50" t="s">
        <v>225</v>
      </c>
      <c r="I228" s="51" t="s">
        <v>428</v>
      </c>
      <c r="J228" s="52" t="s">
        <v>225</v>
      </c>
      <c r="K228" s="53" t="s">
        <v>430</v>
      </c>
      <c r="L228" s="55" t="s">
        <v>431</v>
      </c>
      <c r="M228" s="55" t="s">
        <v>429</v>
      </c>
      <c r="N228" s="56">
        <v>2</v>
      </c>
      <c r="O228" s="57">
        <v>2750</v>
      </c>
      <c r="P228" s="58" t="s">
        <v>432</v>
      </c>
      <c r="Q228" s="57">
        <f t="shared" si="11"/>
        <v>5500</v>
      </c>
      <c r="R228" s="59">
        <v>0</v>
      </c>
      <c r="S228" s="59">
        <v>0</v>
      </c>
      <c r="T228" s="59">
        <v>0</v>
      </c>
      <c r="U228" s="59">
        <v>0</v>
      </c>
      <c r="V228" s="59">
        <v>0</v>
      </c>
      <c r="W228" s="59">
        <v>0</v>
      </c>
      <c r="X228" s="59">
        <v>0</v>
      </c>
      <c r="Y228" s="59">
        <v>0</v>
      </c>
      <c r="Z228" s="59">
        <v>0</v>
      </c>
      <c r="AA228" s="59">
        <v>0</v>
      </c>
      <c r="AB228" s="59">
        <v>0</v>
      </c>
      <c r="AC228" s="59">
        <v>5500</v>
      </c>
      <c r="AE228" s="60"/>
      <c r="AF228" s="60"/>
    </row>
    <row r="229" spans="1:32" s="4" customFormat="1" ht="30.6" x14ac:dyDescent="0.3">
      <c r="A229" s="46" t="s">
        <v>377</v>
      </c>
      <c r="B229" s="47" t="s">
        <v>378</v>
      </c>
      <c r="C229" s="35" t="s">
        <v>69</v>
      </c>
      <c r="D229" s="48" t="s">
        <v>70</v>
      </c>
      <c r="E229" s="35" t="s">
        <v>69</v>
      </c>
      <c r="F229" s="48" t="s">
        <v>71</v>
      </c>
      <c r="G229" s="49">
        <v>35501</v>
      </c>
      <c r="H229" s="50" t="s">
        <v>433</v>
      </c>
      <c r="I229" s="51" t="s">
        <v>428</v>
      </c>
      <c r="J229" s="52" t="s">
        <v>433</v>
      </c>
      <c r="K229" s="53" t="s">
        <v>379</v>
      </c>
      <c r="L229" s="54" t="s">
        <v>379</v>
      </c>
      <c r="M229" s="55" t="s">
        <v>429</v>
      </c>
      <c r="N229" s="56">
        <v>6</v>
      </c>
      <c r="O229" s="57">
        <v>3800</v>
      </c>
      <c r="P229" s="58" t="s">
        <v>380</v>
      </c>
      <c r="Q229" s="57">
        <f>SUM(R229:AC229)</f>
        <v>22800</v>
      </c>
      <c r="R229" s="59">
        <v>0</v>
      </c>
      <c r="S229" s="59">
        <v>3800</v>
      </c>
      <c r="T229" s="59">
        <v>3800</v>
      </c>
      <c r="U229" s="59">
        <v>0</v>
      </c>
      <c r="V229" s="59">
        <v>3800</v>
      </c>
      <c r="W229" s="59">
        <v>0</v>
      </c>
      <c r="X229" s="59">
        <v>3800</v>
      </c>
      <c r="Y229" s="59">
        <v>0</v>
      </c>
      <c r="Z229" s="59">
        <v>3800</v>
      </c>
      <c r="AA229" s="59">
        <v>0</v>
      </c>
      <c r="AB229" s="59">
        <v>3800</v>
      </c>
      <c r="AC229" s="59">
        <v>0</v>
      </c>
      <c r="AE229" s="60"/>
      <c r="AF229" s="60"/>
    </row>
    <row r="230" spans="1:32" s="4" customFormat="1" ht="27.6" x14ac:dyDescent="0.3">
      <c r="A230" s="46" t="s">
        <v>377</v>
      </c>
      <c r="B230" s="47" t="s">
        <v>378</v>
      </c>
      <c r="C230" s="35" t="s">
        <v>69</v>
      </c>
      <c r="D230" s="48" t="s">
        <v>70</v>
      </c>
      <c r="E230" s="35" t="s">
        <v>69</v>
      </c>
      <c r="F230" s="48" t="s">
        <v>71</v>
      </c>
      <c r="G230" s="49">
        <v>37504</v>
      </c>
      <c r="H230" s="50" t="s">
        <v>434</v>
      </c>
      <c r="I230" s="51"/>
      <c r="J230" s="52" t="s">
        <v>434</v>
      </c>
      <c r="K230" s="53" t="s">
        <v>379</v>
      </c>
      <c r="L230" s="54" t="s">
        <v>379</v>
      </c>
      <c r="M230" s="62" t="s">
        <v>435</v>
      </c>
      <c r="N230" s="56">
        <v>3</v>
      </c>
      <c r="O230" s="57">
        <v>625</v>
      </c>
      <c r="P230" s="58" t="s">
        <v>380</v>
      </c>
      <c r="Q230" s="57">
        <f>SUM(R230:AC230)</f>
        <v>1875</v>
      </c>
      <c r="R230" s="59">
        <v>0</v>
      </c>
      <c r="S230" s="59">
        <v>625</v>
      </c>
      <c r="T230" s="59">
        <v>0</v>
      </c>
      <c r="U230" s="59">
        <v>0</v>
      </c>
      <c r="V230" s="59">
        <v>625</v>
      </c>
      <c r="W230" s="59">
        <v>0</v>
      </c>
      <c r="X230" s="59">
        <v>0</v>
      </c>
      <c r="Y230" s="59">
        <v>0</v>
      </c>
      <c r="Z230" s="59">
        <v>0</v>
      </c>
      <c r="AA230" s="59">
        <v>0</v>
      </c>
      <c r="AB230" s="59">
        <v>625</v>
      </c>
      <c r="AC230" s="59">
        <v>0</v>
      </c>
      <c r="AE230" s="60"/>
      <c r="AF230" s="60"/>
    </row>
    <row r="231" spans="1:32" s="4" customFormat="1" ht="27.6" x14ac:dyDescent="0.3">
      <c r="A231" s="46" t="s">
        <v>377</v>
      </c>
      <c r="B231" s="47" t="s">
        <v>378</v>
      </c>
      <c r="C231" s="35" t="s">
        <v>69</v>
      </c>
      <c r="D231" s="48" t="s">
        <v>70</v>
      </c>
      <c r="E231" s="35" t="s">
        <v>69</v>
      </c>
      <c r="F231" s="48" t="s">
        <v>71</v>
      </c>
      <c r="G231" s="49">
        <v>39202</v>
      </c>
      <c r="H231" s="50" t="s">
        <v>234</v>
      </c>
      <c r="I231" s="51" t="s">
        <v>428</v>
      </c>
      <c r="J231" s="52" t="s">
        <v>234</v>
      </c>
      <c r="K231" s="53" t="s">
        <v>379</v>
      </c>
      <c r="L231" s="54" t="s">
        <v>379</v>
      </c>
      <c r="M231" s="55" t="s">
        <v>429</v>
      </c>
      <c r="N231" s="56">
        <v>6</v>
      </c>
      <c r="O231" s="57">
        <v>700</v>
      </c>
      <c r="P231" s="58" t="s">
        <v>380</v>
      </c>
      <c r="Q231" s="57">
        <f>SUM(R231:AC231)</f>
        <v>4200</v>
      </c>
      <c r="R231" s="59">
        <v>0</v>
      </c>
      <c r="S231" s="59">
        <v>700</v>
      </c>
      <c r="T231" s="59">
        <v>700</v>
      </c>
      <c r="U231" s="59">
        <v>0</v>
      </c>
      <c r="V231" s="59">
        <v>700</v>
      </c>
      <c r="W231" s="59">
        <v>0</v>
      </c>
      <c r="X231" s="59">
        <v>700</v>
      </c>
      <c r="Y231" s="59">
        <v>0</v>
      </c>
      <c r="Z231" s="59">
        <v>700</v>
      </c>
      <c r="AA231" s="59">
        <v>0</v>
      </c>
      <c r="AB231" s="59">
        <v>700</v>
      </c>
      <c r="AC231" s="59">
        <v>0</v>
      </c>
      <c r="AE231" s="60"/>
      <c r="AF231" s="60"/>
    </row>
    <row r="232" spans="1:32" s="4" customFormat="1" ht="27.6" x14ac:dyDescent="0.3">
      <c r="A232" s="46" t="s">
        <v>377</v>
      </c>
      <c r="B232" s="47" t="s">
        <v>378</v>
      </c>
      <c r="C232" s="35" t="s">
        <v>69</v>
      </c>
      <c r="D232" s="48" t="s">
        <v>70</v>
      </c>
      <c r="E232" s="35" t="s">
        <v>69</v>
      </c>
      <c r="F232" s="48" t="s">
        <v>71</v>
      </c>
      <c r="G232" s="49">
        <v>39202</v>
      </c>
      <c r="H232" s="50" t="s">
        <v>234</v>
      </c>
      <c r="I232" s="51" t="s">
        <v>428</v>
      </c>
      <c r="J232" s="52" t="s">
        <v>234</v>
      </c>
      <c r="K232" s="53" t="s">
        <v>379</v>
      </c>
      <c r="L232" s="54" t="s">
        <v>379</v>
      </c>
      <c r="M232" s="55" t="s">
        <v>429</v>
      </c>
      <c r="N232" s="56">
        <v>3</v>
      </c>
      <c r="O232" s="57">
        <v>800</v>
      </c>
      <c r="P232" s="58" t="s">
        <v>380</v>
      </c>
      <c r="Q232" s="57">
        <f>SUM(R232:AC232)</f>
        <v>2400</v>
      </c>
      <c r="R232" s="59">
        <v>0</v>
      </c>
      <c r="S232" s="59">
        <v>0</v>
      </c>
      <c r="T232" s="59">
        <v>2400</v>
      </c>
      <c r="U232" s="59">
        <v>0</v>
      </c>
      <c r="V232" s="59">
        <v>0</v>
      </c>
      <c r="W232" s="59">
        <v>0</v>
      </c>
      <c r="X232" s="59">
        <v>0</v>
      </c>
      <c r="Y232" s="59">
        <v>0</v>
      </c>
      <c r="Z232" s="59">
        <v>0</v>
      </c>
      <c r="AA232" s="59">
        <v>0</v>
      </c>
      <c r="AB232" s="59">
        <v>0</v>
      </c>
      <c r="AC232" s="59">
        <v>0</v>
      </c>
      <c r="AE232" s="60"/>
      <c r="AF232" s="60"/>
    </row>
    <row r="233" spans="1:32" s="4" customFormat="1" ht="27.6" x14ac:dyDescent="0.3">
      <c r="A233" s="46" t="s">
        <v>377</v>
      </c>
      <c r="B233" s="47" t="s">
        <v>378</v>
      </c>
      <c r="C233" s="35" t="s">
        <v>69</v>
      </c>
      <c r="D233" s="48" t="s">
        <v>70</v>
      </c>
      <c r="E233" s="35" t="s">
        <v>69</v>
      </c>
      <c r="F233" s="48" t="s">
        <v>72</v>
      </c>
      <c r="G233" s="49">
        <v>31301</v>
      </c>
      <c r="H233" s="50" t="s">
        <v>436</v>
      </c>
      <c r="I233" s="51" t="s">
        <v>428</v>
      </c>
      <c r="J233" s="52" t="s">
        <v>436</v>
      </c>
      <c r="K233" s="53" t="s">
        <v>379</v>
      </c>
      <c r="L233" s="54" t="s">
        <v>379</v>
      </c>
      <c r="M233" s="55" t="s">
        <v>429</v>
      </c>
      <c r="N233" s="56">
        <v>1</v>
      </c>
      <c r="O233" s="57">
        <v>2200</v>
      </c>
      <c r="P233" s="58" t="s">
        <v>380</v>
      </c>
      <c r="Q233" s="57">
        <f>SUM(R233:AC233)</f>
        <v>2200</v>
      </c>
      <c r="R233" s="59">
        <v>2200</v>
      </c>
      <c r="S233" s="59">
        <v>0</v>
      </c>
      <c r="T233" s="59">
        <v>0</v>
      </c>
      <c r="U233" s="59">
        <v>0</v>
      </c>
      <c r="V233" s="59">
        <v>0</v>
      </c>
      <c r="W233" s="59">
        <v>0</v>
      </c>
      <c r="X233" s="59">
        <v>0</v>
      </c>
      <c r="Y233" s="59">
        <v>0</v>
      </c>
      <c r="Z233" s="59">
        <v>0</v>
      </c>
      <c r="AA233" s="59">
        <v>0</v>
      </c>
      <c r="AB233" s="59">
        <v>0</v>
      </c>
      <c r="AC233" s="59">
        <v>0</v>
      </c>
      <c r="AE233" s="60"/>
      <c r="AF233" s="60"/>
    </row>
    <row r="234" spans="1:32" s="4" customFormat="1" ht="27.6" x14ac:dyDescent="0.3">
      <c r="A234" s="46" t="s">
        <v>377</v>
      </c>
      <c r="B234" s="47" t="s">
        <v>378</v>
      </c>
      <c r="C234" s="35" t="s">
        <v>69</v>
      </c>
      <c r="D234" s="48" t="s">
        <v>70</v>
      </c>
      <c r="E234" s="35" t="s">
        <v>69</v>
      </c>
      <c r="F234" s="48" t="s">
        <v>72</v>
      </c>
      <c r="G234" s="49">
        <v>31301</v>
      </c>
      <c r="H234" s="50" t="s">
        <v>436</v>
      </c>
      <c r="I234" s="51" t="s">
        <v>428</v>
      </c>
      <c r="J234" s="52" t="s">
        <v>436</v>
      </c>
      <c r="K234" s="53" t="s">
        <v>379</v>
      </c>
      <c r="L234" s="54" t="s">
        <v>379</v>
      </c>
      <c r="M234" s="55" t="s">
        <v>429</v>
      </c>
      <c r="N234" s="56">
        <v>1</v>
      </c>
      <c r="O234" s="57">
        <v>2300</v>
      </c>
      <c r="P234" s="58" t="s">
        <v>380</v>
      </c>
      <c r="Q234" s="57">
        <f t="shared" ref="Q234:Q238" si="12">SUM(R234:AC234)</f>
        <v>2300</v>
      </c>
      <c r="R234" s="59">
        <v>0</v>
      </c>
      <c r="S234" s="59">
        <v>0</v>
      </c>
      <c r="T234" s="59">
        <v>2300</v>
      </c>
      <c r="U234" s="59">
        <v>0</v>
      </c>
      <c r="V234" s="59">
        <v>0</v>
      </c>
      <c r="W234" s="59">
        <v>0</v>
      </c>
      <c r="X234" s="59">
        <v>0</v>
      </c>
      <c r="Y234" s="59">
        <v>0</v>
      </c>
      <c r="Z234" s="59">
        <v>0</v>
      </c>
      <c r="AA234" s="59">
        <v>0</v>
      </c>
      <c r="AB234" s="59">
        <v>0</v>
      </c>
      <c r="AC234" s="59">
        <v>0</v>
      </c>
      <c r="AE234" s="60"/>
      <c r="AF234" s="60"/>
    </row>
    <row r="235" spans="1:32" s="4" customFormat="1" ht="27.6" x14ac:dyDescent="0.3">
      <c r="A235" s="46" t="s">
        <v>377</v>
      </c>
      <c r="B235" s="47" t="s">
        <v>378</v>
      </c>
      <c r="C235" s="35" t="s">
        <v>69</v>
      </c>
      <c r="D235" s="48" t="s">
        <v>70</v>
      </c>
      <c r="E235" s="35" t="s">
        <v>69</v>
      </c>
      <c r="F235" s="48" t="s">
        <v>72</v>
      </c>
      <c r="G235" s="49">
        <v>31301</v>
      </c>
      <c r="H235" s="50" t="s">
        <v>436</v>
      </c>
      <c r="I235" s="51" t="s">
        <v>428</v>
      </c>
      <c r="J235" s="52" t="s">
        <v>436</v>
      </c>
      <c r="K235" s="53" t="s">
        <v>379</v>
      </c>
      <c r="L235" s="54" t="s">
        <v>379</v>
      </c>
      <c r="M235" s="55" t="s">
        <v>429</v>
      </c>
      <c r="N235" s="56">
        <v>1</v>
      </c>
      <c r="O235" s="57">
        <v>3100</v>
      </c>
      <c r="P235" s="58" t="s">
        <v>380</v>
      </c>
      <c r="Q235" s="57">
        <f t="shared" si="12"/>
        <v>3100</v>
      </c>
      <c r="R235" s="59">
        <v>0</v>
      </c>
      <c r="S235" s="59">
        <v>0</v>
      </c>
      <c r="T235" s="59">
        <v>0</v>
      </c>
      <c r="U235" s="59">
        <v>0</v>
      </c>
      <c r="V235" s="59">
        <v>3100</v>
      </c>
      <c r="W235" s="59">
        <v>0</v>
      </c>
      <c r="X235" s="59">
        <v>0</v>
      </c>
      <c r="Y235" s="59">
        <v>0</v>
      </c>
      <c r="Z235" s="59">
        <v>0</v>
      </c>
      <c r="AA235" s="59">
        <v>0</v>
      </c>
      <c r="AB235" s="59">
        <v>0</v>
      </c>
      <c r="AC235" s="59">
        <v>0</v>
      </c>
      <c r="AE235" s="60"/>
      <c r="AF235" s="60"/>
    </row>
    <row r="236" spans="1:32" s="4" customFormat="1" ht="27.6" x14ac:dyDescent="0.3">
      <c r="A236" s="46" t="s">
        <v>377</v>
      </c>
      <c r="B236" s="47" t="s">
        <v>378</v>
      </c>
      <c r="C236" s="35" t="s">
        <v>69</v>
      </c>
      <c r="D236" s="48" t="s">
        <v>70</v>
      </c>
      <c r="E236" s="35" t="s">
        <v>69</v>
      </c>
      <c r="F236" s="48" t="s">
        <v>72</v>
      </c>
      <c r="G236" s="49">
        <v>31301</v>
      </c>
      <c r="H236" s="50" t="s">
        <v>436</v>
      </c>
      <c r="I236" s="51" t="s">
        <v>428</v>
      </c>
      <c r="J236" s="52" t="s">
        <v>436</v>
      </c>
      <c r="K236" s="53" t="s">
        <v>379</v>
      </c>
      <c r="L236" s="54" t="s">
        <v>379</v>
      </c>
      <c r="M236" s="55" t="s">
        <v>429</v>
      </c>
      <c r="N236" s="56">
        <v>1</v>
      </c>
      <c r="O236" s="57">
        <v>2500</v>
      </c>
      <c r="P236" s="58" t="s">
        <v>380</v>
      </c>
      <c r="Q236" s="57">
        <f t="shared" si="12"/>
        <v>2500</v>
      </c>
      <c r="R236" s="59">
        <v>0</v>
      </c>
      <c r="S236" s="59">
        <v>0</v>
      </c>
      <c r="T236" s="59">
        <v>0</v>
      </c>
      <c r="U236" s="59">
        <v>0</v>
      </c>
      <c r="V236" s="59">
        <v>0</v>
      </c>
      <c r="W236" s="59">
        <v>0</v>
      </c>
      <c r="X236" s="59">
        <v>2500</v>
      </c>
      <c r="Y236" s="59">
        <v>0</v>
      </c>
      <c r="Z236" s="59">
        <v>0</v>
      </c>
      <c r="AA236" s="59">
        <v>0</v>
      </c>
      <c r="AB236" s="59">
        <v>0</v>
      </c>
      <c r="AC236" s="59">
        <v>0</v>
      </c>
      <c r="AE236" s="60"/>
      <c r="AF236" s="60"/>
    </row>
    <row r="237" spans="1:32" s="4" customFormat="1" ht="27.6" x14ac:dyDescent="0.3">
      <c r="A237" s="46" t="s">
        <v>377</v>
      </c>
      <c r="B237" s="47" t="s">
        <v>378</v>
      </c>
      <c r="C237" s="35" t="s">
        <v>69</v>
      </c>
      <c r="D237" s="48" t="s">
        <v>70</v>
      </c>
      <c r="E237" s="35" t="s">
        <v>69</v>
      </c>
      <c r="F237" s="48" t="s">
        <v>72</v>
      </c>
      <c r="G237" s="49">
        <v>31301</v>
      </c>
      <c r="H237" s="50" t="s">
        <v>436</v>
      </c>
      <c r="I237" s="51" t="s">
        <v>428</v>
      </c>
      <c r="J237" s="52" t="s">
        <v>436</v>
      </c>
      <c r="K237" s="53" t="s">
        <v>379</v>
      </c>
      <c r="L237" s="54" t="s">
        <v>379</v>
      </c>
      <c r="M237" s="55" t="s">
        <v>429</v>
      </c>
      <c r="N237" s="56">
        <v>1</v>
      </c>
      <c r="O237" s="57">
        <v>2277</v>
      </c>
      <c r="P237" s="58" t="s">
        <v>380</v>
      </c>
      <c r="Q237" s="57">
        <f t="shared" si="12"/>
        <v>2277</v>
      </c>
      <c r="R237" s="59">
        <v>0</v>
      </c>
      <c r="S237" s="59">
        <v>0</v>
      </c>
      <c r="T237" s="59">
        <v>0</v>
      </c>
      <c r="U237" s="59">
        <v>0</v>
      </c>
      <c r="V237" s="59">
        <v>0</v>
      </c>
      <c r="W237" s="59">
        <v>0</v>
      </c>
      <c r="X237" s="59">
        <v>0</v>
      </c>
      <c r="Y237" s="59">
        <v>0</v>
      </c>
      <c r="Z237" s="59">
        <v>2277</v>
      </c>
      <c r="AA237" s="59">
        <v>0</v>
      </c>
      <c r="AB237" s="59">
        <v>0</v>
      </c>
      <c r="AC237" s="59">
        <v>0</v>
      </c>
      <c r="AE237" s="60"/>
      <c r="AF237" s="60"/>
    </row>
    <row r="238" spans="1:32" s="4" customFormat="1" ht="27.6" x14ac:dyDescent="0.3">
      <c r="A238" s="46" t="s">
        <v>377</v>
      </c>
      <c r="B238" s="47" t="s">
        <v>378</v>
      </c>
      <c r="C238" s="35" t="s">
        <v>69</v>
      </c>
      <c r="D238" s="48" t="s">
        <v>70</v>
      </c>
      <c r="E238" s="35" t="s">
        <v>69</v>
      </c>
      <c r="F238" s="48" t="s">
        <v>72</v>
      </c>
      <c r="G238" s="49">
        <v>31301</v>
      </c>
      <c r="H238" s="50" t="s">
        <v>436</v>
      </c>
      <c r="I238" s="51" t="s">
        <v>428</v>
      </c>
      <c r="J238" s="52" t="s">
        <v>436</v>
      </c>
      <c r="K238" s="53" t="s">
        <v>379</v>
      </c>
      <c r="L238" s="54" t="s">
        <v>379</v>
      </c>
      <c r="M238" s="55" t="s">
        <v>429</v>
      </c>
      <c r="N238" s="56">
        <v>1</v>
      </c>
      <c r="O238" s="57">
        <v>2000</v>
      </c>
      <c r="P238" s="58" t="s">
        <v>380</v>
      </c>
      <c r="Q238" s="57">
        <f t="shared" si="12"/>
        <v>2000</v>
      </c>
      <c r="R238" s="59">
        <v>0</v>
      </c>
      <c r="S238" s="59">
        <v>0</v>
      </c>
      <c r="T238" s="59">
        <v>0</v>
      </c>
      <c r="U238" s="59">
        <v>0</v>
      </c>
      <c r="V238" s="59">
        <v>0</v>
      </c>
      <c r="W238" s="59">
        <v>0</v>
      </c>
      <c r="X238" s="59">
        <v>0</v>
      </c>
      <c r="Y238" s="59">
        <v>0</v>
      </c>
      <c r="Z238" s="59">
        <v>0</v>
      </c>
      <c r="AA238" s="59">
        <v>0</v>
      </c>
      <c r="AB238" s="59">
        <v>2000</v>
      </c>
      <c r="AC238" s="59">
        <v>0</v>
      </c>
      <c r="AE238" s="60"/>
      <c r="AF238" s="60"/>
    </row>
    <row r="239" spans="1:32" s="4" customFormat="1" ht="29.25" customHeight="1" x14ac:dyDescent="0.3">
      <c r="A239" s="46" t="s">
        <v>377</v>
      </c>
      <c r="B239" s="47" t="s">
        <v>378</v>
      </c>
      <c r="C239" s="35" t="s">
        <v>69</v>
      </c>
      <c r="D239" s="48" t="s">
        <v>70</v>
      </c>
      <c r="E239" s="35" t="s">
        <v>69</v>
      </c>
      <c r="F239" s="48" t="s">
        <v>72</v>
      </c>
      <c r="G239" s="49">
        <v>32201</v>
      </c>
      <c r="H239" s="50" t="s">
        <v>437</v>
      </c>
      <c r="I239" s="51" t="s">
        <v>428</v>
      </c>
      <c r="J239" s="52" t="s">
        <v>437</v>
      </c>
      <c r="K239" s="63" t="s">
        <v>438</v>
      </c>
      <c r="L239" s="55" t="s">
        <v>429</v>
      </c>
      <c r="M239" s="55" t="s">
        <v>429</v>
      </c>
      <c r="N239" s="56">
        <v>12</v>
      </c>
      <c r="O239" s="57">
        <v>66363</v>
      </c>
      <c r="P239" s="58" t="s">
        <v>380</v>
      </c>
      <c r="Q239" s="57">
        <f>SUM(R239:AC239)</f>
        <v>796356</v>
      </c>
      <c r="R239" s="59">
        <v>0</v>
      </c>
      <c r="S239" s="59">
        <v>66363</v>
      </c>
      <c r="T239" s="59">
        <v>66363</v>
      </c>
      <c r="U239" s="59">
        <v>66363</v>
      </c>
      <c r="V239" s="59">
        <v>66363</v>
      </c>
      <c r="W239" s="59">
        <v>66363</v>
      </c>
      <c r="X239" s="59">
        <v>66363</v>
      </c>
      <c r="Y239" s="59">
        <v>66363</v>
      </c>
      <c r="Z239" s="59">
        <v>66363</v>
      </c>
      <c r="AA239" s="59">
        <v>66363</v>
      </c>
      <c r="AB239" s="59">
        <v>66363</v>
      </c>
      <c r="AC239" s="59">
        <v>132726</v>
      </c>
      <c r="AE239" s="60"/>
      <c r="AF239" s="60"/>
    </row>
    <row r="240" spans="1:32" s="4" customFormat="1" ht="32.25" customHeight="1" x14ac:dyDescent="0.3">
      <c r="A240" s="46" t="s">
        <v>377</v>
      </c>
      <c r="B240" s="47" t="s">
        <v>378</v>
      </c>
      <c r="C240" s="35" t="s">
        <v>69</v>
      </c>
      <c r="D240" s="48" t="s">
        <v>70</v>
      </c>
      <c r="E240" s="35" t="s">
        <v>69</v>
      </c>
      <c r="F240" s="48" t="s">
        <v>72</v>
      </c>
      <c r="G240" s="49">
        <v>33801</v>
      </c>
      <c r="H240" s="50" t="s">
        <v>439</v>
      </c>
      <c r="I240" s="51" t="s">
        <v>428</v>
      </c>
      <c r="J240" s="52" t="s">
        <v>439</v>
      </c>
      <c r="K240" s="53" t="s">
        <v>93</v>
      </c>
      <c r="L240" s="55" t="s">
        <v>429</v>
      </c>
      <c r="M240" s="55" t="s">
        <v>429</v>
      </c>
      <c r="N240" s="56">
        <v>1</v>
      </c>
      <c r="O240" s="57">
        <v>36979</v>
      </c>
      <c r="P240" s="58" t="s">
        <v>432</v>
      </c>
      <c r="Q240" s="57">
        <f>SUM(R240:AC240)</f>
        <v>36979</v>
      </c>
      <c r="R240" s="59">
        <v>0</v>
      </c>
      <c r="S240" s="59">
        <v>36979</v>
      </c>
      <c r="T240" s="59">
        <v>0</v>
      </c>
      <c r="U240" s="59">
        <v>0</v>
      </c>
      <c r="V240" s="59">
        <v>0</v>
      </c>
      <c r="W240" s="59">
        <v>0</v>
      </c>
      <c r="X240" s="59">
        <v>0</v>
      </c>
      <c r="Y240" s="59">
        <v>0</v>
      </c>
      <c r="Z240" s="59">
        <v>0</v>
      </c>
      <c r="AA240" s="59">
        <v>0</v>
      </c>
      <c r="AB240" s="59">
        <v>0</v>
      </c>
      <c r="AC240" s="59">
        <v>0</v>
      </c>
      <c r="AE240" s="60"/>
      <c r="AF240" s="60"/>
    </row>
    <row r="241" spans="1:32" s="4" customFormat="1" ht="32.25" customHeight="1" x14ac:dyDescent="0.3">
      <c r="A241" s="46" t="s">
        <v>377</v>
      </c>
      <c r="B241" s="47" t="s">
        <v>378</v>
      </c>
      <c r="C241" s="35" t="s">
        <v>69</v>
      </c>
      <c r="D241" s="48" t="s">
        <v>70</v>
      </c>
      <c r="E241" s="35" t="s">
        <v>69</v>
      </c>
      <c r="F241" s="48" t="s">
        <v>72</v>
      </c>
      <c r="G241" s="49">
        <v>33801</v>
      </c>
      <c r="H241" s="50" t="s">
        <v>439</v>
      </c>
      <c r="I241" s="51" t="s">
        <v>428</v>
      </c>
      <c r="J241" s="52" t="s">
        <v>439</v>
      </c>
      <c r="K241" s="53" t="s">
        <v>93</v>
      </c>
      <c r="L241" s="55" t="s">
        <v>429</v>
      </c>
      <c r="M241" s="55" t="s">
        <v>429</v>
      </c>
      <c r="N241" s="56">
        <v>11</v>
      </c>
      <c r="O241" s="57">
        <v>36978</v>
      </c>
      <c r="P241" s="58" t="s">
        <v>432</v>
      </c>
      <c r="Q241" s="57">
        <f>SUM(R241:AC241)</f>
        <v>406758</v>
      </c>
      <c r="R241" s="59">
        <v>0</v>
      </c>
      <c r="S241" s="59">
        <v>0</v>
      </c>
      <c r="T241" s="59">
        <v>36978</v>
      </c>
      <c r="U241" s="59">
        <v>36978</v>
      </c>
      <c r="V241" s="59">
        <v>36978</v>
      </c>
      <c r="W241" s="59">
        <v>36978</v>
      </c>
      <c r="X241" s="59">
        <v>36978</v>
      </c>
      <c r="Y241" s="59">
        <v>36978</v>
      </c>
      <c r="Z241" s="59">
        <v>36978</v>
      </c>
      <c r="AA241" s="59">
        <v>36978</v>
      </c>
      <c r="AB241" s="59">
        <v>36978</v>
      </c>
      <c r="AC241" s="59">
        <v>73956</v>
      </c>
      <c r="AE241" s="60"/>
      <c r="AF241" s="60"/>
    </row>
    <row r="242" spans="1:32" s="4" customFormat="1" ht="30.6" x14ac:dyDescent="0.3">
      <c r="A242" s="46" t="s">
        <v>377</v>
      </c>
      <c r="B242" s="47" t="s">
        <v>378</v>
      </c>
      <c r="C242" s="35" t="s">
        <v>69</v>
      </c>
      <c r="D242" s="48" t="s">
        <v>70</v>
      </c>
      <c r="E242" s="35" t="s">
        <v>69</v>
      </c>
      <c r="F242" s="48" t="s">
        <v>72</v>
      </c>
      <c r="G242" s="49">
        <v>35801</v>
      </c>
      <c r="H242" s="50" t="s">
        <v>440</v>
      </c>
      <c r="I242" s="51" t="s">
        <v>428</v>
      </c>
      <c r="J242" s="52" t="s">
        <v>441</v>
      </c>
      <c r="K242" s="53" t="s">
        <v>442</v>
      </c>
      <c r="L242" s="55" t="s">
        <v>429</v>
      </c>
      <c r="M242" s="55" t="s">
        <v>429</v>
      </c>
      <c r="N242" s="56">
        <v>12</v>
      </c>
      <c r="O242" s="57">
        <v>19948</v>
      </c>
      <c r="P242" s="58" t="s">
        <v>432</v>
      </c>
      <c r="Q242" s="57">
        <f>SUM(R242:AC242)</f>
        <v>239376</v>
      </c>
      <c r="R242" s="59">
        <v>0</v>
      </c>
      <c r="S242" s="59">
        <v>19948</v>
      </c>
      <c r="T242" s="59">
        <v>19948</v>
      </c>
      <c r="U242" s="59">
        <v>19948</v>
      </c>
      <c r="V242" s="59">
        <v>19948</v>
      </c>
      <c r="W242" s="59">
        <v>19948</v>
      </c>
      <c r="X242" s="59">
        <v>19948</v>
      </c>
      <c r="Y242" s="59">
        <v>19948</v>
      </c>
      <c r="Z242" s="59">
        <v>19948</v>
      </c>
      <c r="AA242" s="59">
        <v>19948</v>
      </c>
      <c r="AB242" s="59">
        <v>19948</v>
      </c>
      <c r="AC242" s="59">
        <v>39896</v>
      </c>
      <c r="AE242" s="60"/>
      <c r="AF242" s="60"/>
    </row>
    <row r="243" spans="1:32" s="4" customFormat="1" ht="27.6" x14ac:dyDescent="0.3">
      <c r="A243" s="46" t="s">
        <v>377</v>
      </c>
      <c r="B243" s="47" t="s">
        <v>378</v>
      </c>
      <c r="C243" s="35" t="s">
        <v>69</v>
      </c>
      <c r="D243" s="48" t="s">
        <v>70</v>
      </c>
      <c r="E243" s="35" t="s">
        <v>443</v>
      </c>
      <c r="F243" s="48" t="s">
        <v>444</v>
      </c>
      <c r="G243" s="49">
        <v>21601</v>
      </c>
      <c r="H243" s="50" t="s">
        <v>212</v>
      </c>
      <c r="I243" s="51" t="s">
        <v>349</v>
      </c>
      <c r="J243" s="52" t="s">
        <v>78</v>
      </c>
      <c r="K243" s="53" t="s">
        <v>379</v>
      </c>
      <c r="L243" s="54" t="s">
        <v>379</v>
      </c>
      <c r="M243" s="55" t="s">
        <v>383</v>
      </c>
      <c r="N243" s="56">
        <v>134</v>
      </c>
      <c r="O243" s="57">
        <v>130</v>
      </c>
      <c r="P243" s="58" t="s">
        <v>380</v>
      </c>
      <c r="Q243" s="57">
        <f>SUM(R243:AC243)</f>
        <v>17420</v>
      </c>
      <c r="R243" s="59">
        <v>0</v>
      </c>
      <c r="S243" s="59">
        <v>2990</v>
      </c>
      <c r="T243" s="59">
        <v>0</v>
      </c>
      <c r="U243" s="59">
        <v>2990</v>
      </c>
      <c r="V243" s="59">
        <v>3900</v>
      </c>
      <c r="W243" s="59">
        <v>3900</v>
      </c>
      <c r="X243" s="59">
        <v>0</v>
      </c>
      <c r="Y243" s="59">
        <v>1820</v>
      </c>
      <c r="Z243" s="59">
        <v>0</v>
      </c>
      <c r="AA243" s="59">
        <v>1820</v>
      </c>
      <c r="AB243" s="59">
        <v>0</v>
      </c>
      <c r="AC243" s="59">
        <v>0</v>
      </c>
      <c r="AE243" s="60"/>
      <c r="AF243" s="60"/>
    </row>
    <row r="244" spans="1:32" s="4" customFormat="1" ht="27.6" x14ac:dyDescent="0.3">
      <c r="A244" s="46" t="s">
        <v>377</v>
      </c>
      <c r="B244" s="47" t="s">
        <v>378</v>
      </c>
      <c r="C244" s="35" t="s">
        <v>69</v>
      </c>
      <c r="D244" s="48" t="s">
        <v>70</v>
      </c>
      <c r="E244" s="35" t="s">
        <v>443</v>
      </c>
      <c r="F244" s="48" t="s">
        <v>444</v>
      </c>
      <c r="G244" s="49">
        <v>21601</v>
      </c>
      <c r="H244" s="50" t="s">
        <v>212</v>
      </c>
      <c r="I244" s="51" t="s">
        <v>350</v>
      </c>
      <c r="J244" s="52" t="s">
        <v>445</v>
      </c>
      <c r="K244" s="53" t="s">
        <v>379</v>
      </c>
      <c r="L244" s="54" t="s">
        <v>379</v>
      </c>
      <c r="M244" s="55" t="s">
        <v>56</v>
      </c>
      <c r="N244" s="56">
        <v>160</v>
      </c>
      <c r="O244" s="57">
        <v>29</v>
      </c>
      <c r="P244" s="58" t="s">
        <v>380</v>
      </c>
      <c r="Q244" s="57">
        <f t="shared" ref="Q244:Q248" si="13">SUM(R244:AC244)</f>
        <v>4640</v>
      </c>
      <c r="R244" s="59">
        <v>0</v>
      </c>
      <c r="S244" s="59">
        <v>1160</v>
      </c>
      <c r="T244" s="59">
        <v>0</v>
      </c>
      <c r="U244" s="59">
        <v>1160</v>
      </c>
      <c r="V244" s="59">
        <v>0</v>
      </c>
      <c r="W244" s="59">
        <v>0</v>
      </c>
      <c r="X244" s="59">
        <v>0</v>
      </c>
      <c r="Y244" s="59">
        <v>1160</v>
      </c>
      <c r="Z244" s="59">
        <v>0</v>
      </c>
      <c r="AA244" s="59">
        <v>1160</v>
      </c>
      <c r="AB244" s="59">
        <v>0</v>
      </c>
      <c r="AC244" s="59">
        <v>0</v>
      </c>
      <c r="AE244" s="60"/>
      <c r="AF244" s="60"/>
    </row>
    <row r="245" spans="1:32" s="4" customFormat="1" ht="27.6" x14ac:dyDescent="0.3">
      <c r="A245" s="46" t="s">
        <v>377</v>
      </c>
      <c r="B245" s="47" t="s">
        <v>378</v>
      </c>
      <c r="C245" s="35" t="s">
        <v>69</v>
      </c>
      <c r="D245" s="48" t="s">
        <v>70</v>
      </c>
      <c r="E245" s="35" t="s">
        <v>443</v>
      </c>
      <c r="F245" s="48" t="s">
        <v>444</v>
      </c>
      <c r="G245" s="49">
        <v>21601</v>
      </c>
      <c r="H245" s="50" t="s">
        <v>212</v>
      </c>
      <c r="I245" s="51" t="s">
        <v>348</v>
      </c>
      <c r="J245" s="52" t="s">
        <v>446</v>
      </c>
      <c r="K245" s="53" t="s">
        <v>379</v>
      </c>
      <c r="L245" s="54" t="s">
        <v>379</v>
      </c>
      <c r="M245" s="55" t="s">
        <v>79</v>
      </c>
      <c r="N245" s="56">
        <v>38</v>
      </c>
      <c r="O245" s="57">
        <f>56.79*1.16</f>
        <v>65.87639999999999</v>
      </c>
      <c r="P245" s="58" t="s">
        <v>380</v>
      </c>
      <c r="Q245" s="57">
        <f t="shared" si="13"/>
        <v>2503.3031999999994</v>
      </c>
      <c r="R245" s="59">
        <v>0</v>
      </c>
      <c r="S245" s="59">
        <v>0</v>
      </c>
      <c r="T245" s="59">
        <v>0</v>
      </c>
      <c r="U245" s="59">
        <v>0</v>
      </c>
      <c r="V245" s="59">
        <v>1251.6515999999997</v>
      </c>
      <c r="W245" s="59">
        <v>1251.6515999999997</v>
      </c>
      <c r="X245" s="59">
        <v>0</v>
      </c>
      <c r="Y245" s="59">
        <v>0</v>
      </c>
      <c r="Z245" s="59">
        <v>0</v>
      </c>
      <c r="AA245" s="59">
        <v>0</v>
      </c>
      <c r="AB245" s="59">
        <v>0</v>
      </c>
      <c r="AC245" s="59">
        <v>0</v>
      </c>
      <c r="AE245" s="60"/>
      <c r="AF245" s="60"/>
    </row>
    <row r="246" spans="1:32" s="4" customFormat="1" ht="27.6" x14ac:dyDescent="0.3">
      <c r="A246" s="46" t="s">
        <v>377</v>
      </c>
      <c r="B246" s="47" t="s">
        <v>378</v>
      </c>
      <c r="C246" s="35" t="s">
        <v>69</v>
      </c>
      <c r="D246" s="48" t="s">
        <v>70</v>
      </c>
      <c r="E246" s="35" t="s">
        <v>443</v>
      </c>
      <c r="F246" s="48" t="s">
        <v>444</v>
      </c>
      <c r="G246" s="49">
        <v>21601</v>
      </c>
      <c r="H246" s="50" t="s">
        <v>212</v>
      </c>
      <c r="I246" s="51" t="s">
        <v>349</v>
      </c>
      <c r="J246" s="52" t="s">
        <v>78</v>
      </c>
      <c r="K246" s="53" t="s">
        <v>379</v>
      </c>
      <c r="L246" s="54" t="s">
        <v>379</v>
      </c>
      <c r="M246" s="55" t="s">
        <v>383</v>
      </c>
      <c r="N246" s="56">
        <v>2</v>
      </c>
      <c r="O246" s="57">
        <f>15.82*1.16</f>
        <v>18.351199999999999</v>
      </c>
      <c r="P246" s="58" t="s">
        <v>380</v>
      </c>
      <c r="Q246" s="57">
        <f t="shared" si="13"/>
        <v>36.702399999999997</v>
      </c>
      <c r="R246" s="59">
        <v>0</v>
      </c>
      <c r="S246" s="59">
        <v>0</v>
      </c>
      <c r="T246" s="59">
        <v>0</v>
      </c>
      <c r="U246" s="59">
        <v>0</v>
      </c>
      <c r="V246" s="59">
        <v>18.351199999999999</v>
      </c>
      <c r="W246" s="59">
        <v>18.351199999999999</v>
      </c>
      <c r="X246" s="59">
        <v>0</v>
      </c>
      <c r="Y246" s="59">
        <v>0</v>
      </c>
      <c r="Z246" s="59">
        <v>0</v>
      </c>
      <c r="AA246" s="59">
        <v>0</v>
      </c>
      <c r="AB246" s="59">
        <v>0</v>
      </c>
      <c r="AC246" s="59">
        <v>0</v>
      </c>
      <c r="AE246" s="60"/>
      <c r="AF246" s="60"/>
    </row>
    <row r="247" spans="1:32" s="4" customFormat="1" ht="27.6" x14ac:dyDescent="0.3">
      <c r="A247" s="46" t="s">
        <v>377</v>
      </c>
      <c r="B247" s="47" t="s">
        <v>378</v>
      </c>
      <c r="C247" s="35" t="s">
        <v>69</v>
      </c>
      <c r="D247" s="48" t="s">
        <v>70</v>
      </c>
      <c r="E247" s="35" t="s">
        <v>443</v>
      </c>
      <c r="F247" s="48" t="s">
        <v>444</v>
      </c>
      <c r="G247" s="49">
        <v>21601</v>
      </c>
      <c r="H247" s="50" t="s">
        <v>212</v>
      </c>
      <c r="I247" s="51" t="s">
        <v>349</v>
      </c>
      <c r="J247" s="52" t="s">
        <v>78</v>
      </c>
      <c r="K247" s="53" t="s">
        <v>379</v>
      </c>
      <c r="L247" s="54" t="s">
        <v>379</v>
      </c>
      <c r="M247" s="55" t="s">
        <v>383</v>
      </c>
      <c r="N247" s="56">
        <v>2</v>
      </c>
      <c r="O247" s="57">
        <f>56.03*1.16</f>
        <v>64.994799999999998</v>
      </c>
      <c r="P247" s="58" t="s">
        <v>380</v>
      </c>
      <c r="Q247" s="57">
        <f t="shared" si="13"/>
        <v>129.9896</v>
      </c>
      <c r="R247" s="59">
        <v>0</v>
      </c>
      <c r="S247" s="59">
        <v>0</v>
      </c>
      <c r="T247" s="59">
        <v>0</v>
      </c>
      <c r="U247" s="59">
        <v>0</v>
      </c>
      <c r="V247" s="59">
        <v>0</v>
      </c>
      <c r="W247" s="59">
        <v>0</v>
      </c>
      <c r="X247" s="59">
        <v>0</v>
      </c>
      <c r="Y247" s="59">
        <v>64.994799999999998</v>
      </c>
      <c r="Z247" s="59">
        <v>0</v>
      </c>
      <c r="AA247" s="59">
        <v>64.994799999999998</v>
      </c>
      <c r="AB247" s="59">
        <v>0</v>
      </c>
      <c r="AC247" s="59">
        <v>0</v>
      </c>
      <c r="AE247" s="60"/>
      <c r="AF247" s="60"/>
    </row>
    <row r="248" spans="1:32" s="4" customFormat="1" ht="24.75" customHeight="1" x14ac:dyDescent="0.3">
      <c r="A248" s="46" t="s">
        <v>377</v>
      </c>
      <c r="B248" s="47" t="s">
        <v>378</v>
      </c>
      <c r="C248" s="35" t="s">
        <v>69</v>
      </c>
      <c r="D248" s="48" t="s">
        <v>70</v>
      </c>
      <c r="E248" s="35" t="s">
        <v>443</v>
      </c>
      <c r="F248" s="48" t="s">
        <v>444</v>
      </c>
      <c r="G248" s="49">
        <v>21601</v>
      </c>
      <c r="H248" s="50" t="s">
        <v>212</v>
      </c>
      <c r="I248" s="51" t="s">
        <v>349</v>
      </c>
      <c r="J248" s="52" t="s">
        <v>78</v>
      </c>
      <c r="K248" s="53" t="s">
        <v>379</v>
      </c>
      <c r="L248" s="54" t="s">
        <v>379</v>
      </c>
      <c r="M248" s="55" t="s">
        <v>383</v>
      </c>
      <c r="N248" s="56">
        <v>2</v>
      </c>
      <c r="O248" s="57">
        <f>56.04*1.16</f>
        <v>65.006399999999999</v>
      </c>
      <c r="P248" s="58" t="s">
        <v>380</v>
      </c>
      <c r="Q248" s="57">
        <f t="shared" si="13"/>
        <v>130.0128</v>
      </c>
      <c r="R248" s="59">
        <v>0</v>
      </c>
      <c r="S248" s="59">
        <v>0</v>
      </c>
      <c r="T248" s="59">
        <v>0</v>
      </c>
      <c r="U248" s="59">
        <v>0</v>
      </c>
      <c r="V248" s="59">
        <v>0</v>
      </c>
      <c r="W248" s="59">
        <v>0</v>
      </c>
      <c r="X248" s="59">
        <v>0</v>
      </c>
      <c r="Y248" s="59">
        <v>65.006399999999999</v>
      </c>
      <c r="Z248" s="59">
        <v>0</v>
      </c>
      <c r="AA248" s="59">
        <v>65.006399999999999</v>
      </c>
      <c r="AB248" s="59">
        <v>0</v>
      </c>
      <c r="AC248" s="59">
        <v>0</v>
      </c>
      <c r="AE248" s="60"/>
      <c r="AF248" s="60"/>
    </row>
    <row r="249" spans="1:32" s="4" customFormat="1" ht="30.6" x14ac:dyDescent="0.3">
      <c r="A249" s="46" t="s">
        <v>377</v>
      </c>
      <c r="B249" s="47" t="s">
        <v>378</v>
      </c>
      <c r="C249" s="35" t="s">
        <v>69</v>
      </c>
      <c r="D249" s="48" t="s">
        <v>70</v>
      </c>
      <c r="E249" s="35" t="s">
        <v>443</v>
      </c>
      <c r="F249" s="48" t="s">
        <v>444</v>
      </c>
      <c r="G249" s="49">
        <v>25401</v>
      </c>
      <c r="H249" s="50" t="s">
        <v>220</v>
      </c>
      <c r="I249" s="51" t="s">
        <v>367</v>
      </c>
      <c r="J249" s="52" t="s">
        <v>447</v>
      </c>
      <c r="K249" s="53" t="s">
        <v>379</v>
      </c>
      <c r="L249" s="54" t="s">
        <v>379</v>
      </c>
      <c r="M249" s="55" t="s">
        <v>383</v>
      </c>
      <c r="N249" s="56">
        <v>50</v>
      </c>
      <c r="O249" s="57">
        <v>49.879999999999995</v>
      </c>
      <c r="P249" s="58" t="s">
        <v>380</v>
      </c>
      <c r="Q249" s="57">
        <f>SUM(R249:AC249)</f>
        <v>2494</v>
      </c>
      <c r="R249" s="59">
        <v>0</v>
      </c>
      <c r="S249" s="59">
        <v>1247</v>
      </c>
      <c r="T249" s="59">
        <v>0</v>
      </c>
      <c r="U249" s="59">
        <v>0</v>
      </c>
      <c r="V249" s="59">
        <v>0</v>
      </c>
      <c r="W249" s="59">
        <v>1247</v>
      </c>
      <c r="X249" s="59">
        <v>0</v>
      </c>
      <c r="Y249" s="59">
        <v>0</v>
      </c>
      <c r="Z249" s="59">
        <v>0</v>
      </c>
      <c r="AA249" s="59">
        <v>0</v>
      </c>
      <c r="AB249" s="59">
        <v>0</v>
      </c>
      <c r="AC249" s="59">
        <v>0</v>
      </c>
      <c r="AE249" s="60"/>
      <c r="AF249" s="60"/>
    </row>
    <row r="250" spans="1:32" s="4" customFormat="1" ht="30.6" x14ac:dyDescent="0.3">
      <c r="A250" s="46" t="s">
        <v>377</v>
      </c>
      <c r="B250" s="47" t="s">
        <v>378</v>
      </c>
      <c r="C250" s="35" t="s">
        <v>69</v>
      </c>
      <c r="D250" s="48" t="s">
        <v>70</v>
      </c>
      <c r="E250" s="35" t="s">
        <v>443</v>
      </c>
      <c r="F250" s="48" t="s">
        <v>444</v>
      </c>
      <c r="G250" s="49">
        <v>25401</v>
      </c>
      <c r="H250" s="50" t="s">
        <v>220</v>
      </c>
      <c r="I250" s="51" t="s">
        <v>448</v>
      </c>
      <c r="J250" s="52" t="s">
        <v>449</v>
      </c>
      <c r="K250" s="53" t="s">
        <v>379</v>
      </c>
      <c r="L250" s="54" t="s">
        <v>379</v>
      </c>
      <c r="M250" s="55" t="s">
        <v>63</v>
      </c>
      <c r="N250" s="56">
        <v>16</v>
      </c>
      <c r="O250" s="57">
        <v>341.03999999999996</v>
      </c>
      <c r="P250" s="58" t="s">
        <v>380</v>
      </c>
      <c r="Q250" s="57">
        <f t="shared" ref="Q250:Q262" si="14">SUM(R250:AC250)</f>
        <v>5456.6399999999994</v>
      </c>
      <c r="R250" s="59">
        <v>0</v>
      </c>
      <c r="S250" s="59">
        <v>2728.3199999999997</v>
      </c>
      <c r="T250" s="59">
        <v>0</v>
      </c>
      <c r="U250" s="59">
        <v>0</v>
      </c>
      <c r="V250" s="59">
        <v>0</v>
      </c>
      <c r="W250" s="59">
        <v>2728.3199999999997</v>
      </c>
      <c r="X250" s="59">
        <v>0</v>
      </c>
      <c r="Y250" s="59">
        <v>0</v>
      </c>
      <c r="Z250" s="59">
        <v>0</v>
      </c>
      <c r="AA250" s="59">
        <v>0</v>
      </c>
      <c r="AB250" s="59">
        <v>0</v>
      </c>
      <c r="AC250" s="59">
        <v>0</v>
      </c>
      <c r="AE250" s="60"/>
      <c r="AF250" s="60"/>
    </row>
    <row r="251" spans="1:32" s="4" customFormat="1" ht="30.6" x14ac:dyDescent="0.3">
      <c r="A251" s="46" t="s">
        <v>377</v>
      </c>
      <c r="B251" s="47" t="s">
        <v>378</v>
      </c>
      <c r="C251" s="35" t="s">
        <v>69</v>
      </c>
      <c r="D251" s="48" t="s">
        <v>70</v>
      </c>
      <c r="E251" s="35" t="s">
        <v>443</v>
      </c>
      <c r="F251" s="48" t="s">
        <v>444</v>
      </c>
      <c r="G251" s="49">
        <v>25401</v>
      </c>
      <c r="H251" s="50" t="s">
        <v>220</v>
      </c>
      <c r="I251" s="51" t="s">
        <v>366</v>
      </c>
      <c r="J251" s="52" t="s">
        <v>450</v>
      </c>
      <c r="K251" s="53" t="s">
        <v>379</v>
      </c>
      <c r="L251" s="54" t="s">
        <v>379</v>
      </c>
      <c r="M251" s="55" t="s">
        <v>383</v>
      </c>
      <c r="N251" s="56">
        <v>1384</v>
      </c>
      <c r="O251" s="57">
        <v>8.1199999999999992</v>
      </c>
      <c r="P251" s="58" t="s">
        <v>380</v>
      </c>
      <c r="Q251" s="57">
        <f t="shared" si="14"/>
        <v>11238.079999999998</v>
      </c>
      <c r="R251" s="59">
        <v>0</v>
      </c>
      <c r="S251" s="59">
        <v>3247.9999999999995</v>
      </c>
      <c r="T251" s="59">
        <v>0</v>
      </c>
      <c r="U251" s="59">
        <v>2249.2399999999998</v>
      </c>
      <c r="V251" s="59">
        <v>2249.2399999999998</v>
      </c>
      <c r="W251" s="59">
        <v>3247.9999999999995</v>
      </c>
      <c r="X251" s="59">
        <v>0</v>
      </c>
      <c r="Y251" s="59">
        <v>121.79999999999998</v>
      </c>
      <c r="Z251" s="59">
        <v>0</v>
      </c>
      <c r="AA251" s="59">
        <v>121.79999999999998</v>
      </c>
      <c r="AB251" s="59">
        <v>0</v>
      </c>
      <c r="AC251" s="59">
        <v>0</v>
      </c>
      <c r="AE251" s="60"/>
      <c r="AF251" s="60"/>
    </row>
    <row r="252" spans="1:32" s="4" customFormat="1" ht="30.6" x14ac:dyDescent="0.3">
      <c r="A252" s="46" t="s">
        <v>377</v>
      </c>
      <c r="B252" s="47" t="s">
        <v>378</v>
      </c>
      <c r="C252" s="35" t="s">
        <v>69</v>
      </c>
      <c r="D252" s="48" t="s">
        <v>70</v>
      </c>
      <c r="E252" s="35" t="s">
        <v>443</v>
      </c>
      <c r="F252" s="48" t="s">
        <v>444</v>
      </c>
      <c r="G252" s="49">
        <v>25401</v>
      </c>
      <c r="H252" s="50" t="s">
        <v>220</v>
      </c>
      <c r="I252" s="51" t="s">
        <v>366</v>
      </c>
      <c r="J252" s="52" t="s">
        <v>451</v>
      </c>
      <c r="K252" s="53" t="s">
        <v>379</v>
      </c>
      <c r="L252" s="54" t="s">
        <v>379</v>
      </c>
      <c r="M252" s="55" t="s">
        <v>383</v>
      </c>
      <c r="N252" s="56">
        <v>400</v>
      </c>
      <c r="O252" s="57">
        <v>0.81199999999999994</v>
      </c>
      <c r="P252" s="58" t="s">
        <v>380</v>
      </c>
      <c r="Q252" s="57">
        <f t="shared" si="14"/>
        <v>324.79999999999995</v>
      </c>
      <c r="R252" s="59">
        <v>0</v>
      </c>
      <c r="S252" s="59">
        <v>162.39999999999998</v>
      </c>
      <c r="T252" s="59">
        <v>0</v>
      </c>
      <c r="U252" s="59">
        <v>0</v>
      </c>
      <c r="V252" s="59">
        <v>0</v>
      </c>
      <c r="W252" s="59">
        <v>162.39999999999998</v>
      </c>
      <c r="X252" s="59">
        <v>0</v>
      </c>
      <c r="Y252" s="59">
        <v>0</v>
      </c>
      <c r="Z252" s="59">
        <v>0</v>
      </c>
      <c r="AA252" s="59">
        <v>0</v>
      </c>
      <c r="AB252" s="59">
        <v>0</v>
      </c>
      <c r="AC252" s="59">
        <v>0</v>
      </c>
      <c r="AE252" s="60"/>
      <c r="AF252" s="60"/>
    </row>
    <row r="253" spans="1:32" s="4" customFormat="1" ht="30.6" x14ac:dyDescent="0.3">
      <c r="A253" s="46" t="s">
        <v>377</v>
      </c>
      <c r="B253" s="47" t="s">
        <v>378</v>
      </c>
      <c r="C253" s="35" t="s">
        <v>69</v>
      </c>
      <c r="D253" s="48" t="s">
        <v>70</v>
      </c>
      <c r="E253" s="35" t="s">
        <v>443</v>
      </c>
      <c r="F253" s="48" t="s">
        <v>444</v>
      </c>
      <c r="G253" s="49">
        <v>25401</v>
      </c>
      <c r="H253" s="50" t="s">
        <v>220</v>
      </c>
      <c r="I253" s="51" t="s">
        <v>366</v>
      </c>
      <c r="J253" s="52" t="s">
        <v>450</v>
      </c>
      <c r="K253" s="53" t="s">
        <v>379</v>
      </c>
      <c r="L253" s="54" t="s">
        <v>379</v>
      </c>
      <c r="M253" s="55" t="s">
        <v>383</v>
      </c>
      <c r="N253" s="56">
        <v>4</v>
      </c>
      <c r="O253" s="57">
        <v>7.14</v>
      </c>
      <c r="P253" s="58" t="s">
        <v>380</v>
      </c>
      <c r="Q253" s="57">
        <f t="shared" si="14"/>
        <v>28.56</v>
      </c>
      <c r="R253" s="59">
        <v>0</v>
      </c>
      <c r="S253" s="59">
        <v>14.28</v>
      </c>
      <c r="T253" s="59">
        <v>0</v>
      </c>
      <c r="U253" s="59">
        <v>0</v>
      </c>
      <c r="V253" s="59">
        <v>0</v>
      </c>
      <c r="W253" s="59">
        <v>14.28</v>
      </c>
      <c r="X253" s="59">
        <v>0</v>
      </c>
      <c r="Y253" s="59">
        <v>0</v>
      </c>
      <c r="Z253" s="59">
        <v>0</v>
      </c>
      <c r="AA253" s="59">
        <v>0</v>
      </c>
      <c r="AB253" s="59">
        <v>0</v>
      </c>
      <c r="AC253" s="59">
        <v>0</v>
      </c>
      <c r="AE253" s="60"/>
      <c r="AF253" s="60"/>
    </row>
    <row r="254" spans="1:32" s="4" customFormat="1" ht="30.6" x14ac:dyDescent="0.3">
      <c r="A254" s="46" t="s">
        <v>377</v>
      </c>
      <c r="B254" s="47" t="s">
        <v>378</v>
      </c>
      <c r="C254" s="35" t="s">
        <v>69</v>
      </c>
      <c r="D254" s="48" t="s">
        <v>70</v>
      </c>
      <c r="E254" s="35" t="s">
        <v>443</v>
      </c>
      <c r="F254" s="48" t="s">
        <v>444</v>
      </c>
      <c r="G254" s="49">
        <v>25401</v>
      </c>
      <c r="H254" s="50" t="s">
        <v>220</v>
      </c>
      <c r="I254" s="51" t="s">
        <v>448</v>
      </c>
      <c r="J254" s="52" t="s">
        <v>452</v>
      </c>
      <c r="K254" s="53" t="s">
        <v>379</v>
      </c>
      <c r="L254" s="54" t="s">
        <v>379</v>
      </c>
      <c r="M254" s="55" t="s">
        <v>63</v>
      </c>
      <c r="N254" s="56">
        <v>20</v>
      </c>
      <c r="O254" s="57">
        <v>1002.24</v>
      </c>
      <c r="P254" s="58" t="s">
        <v>380</v>
      </c>
      <c r="Q254" s="57">
        <f t="shared" si="14"/>
        <v>20044.8</v>
      </c>
      <c r="R254" s="59">
        <v>0</v>
      </c>
      <c r="S254" s="59">
        <v>0</v>
      </c>
      <c r="T254" s="59">
        <v>0</v>
      </c>
      <c r="U254" s="59">
        <v>6013.4400000000005</v>
      </c>
      <c r="V254" s="59">
        <v>6013.4400000000005</v>
      </c>
      <c r="W254" s="59">
        <v>0</v>
      </c>
      <c r="X254" s="59">
        <v>0</v>
      </c>
      <c r="Y254" s="59">
        <v>4008.96</v>
      </c>
      <c r="Z254" s="59">
        <v>0</v>
      </c>
      <c r="AA254" s="59">
        <v>4008.96</v>
      </c>
      <c r="AB254" s="59">
        <v>0</v>
      </c>
      <c r="AC254" s="59">
        <v>0</v>
      </c>
      <c r="AE254" s="60"/>
      <c r="AF254" s="60"/>
    </row>
    <row r="255" spans="1:32" s="4" customFormat="1" ht="30.6" x14ac:dyDescent="0.3">
      <c r="A255" s="46" t="s">
        <v>377</v>
      </c>
      <c r="B255" s="47" t="s">
        <v>378</v>
      </c>
      <c r="C255" s="35" t="s">
        <v>69</v>
      </c>
      <c r="D255" s="48" t="s">
        <v>70</v>
      </c>
      <c r="E255" s="35" t="s">
        <v>443</v>
      </c>
      <c r="F255" s="48" t="s">
        <v>444</v>
      </c>
      <c r="G255" s="49">
        <v>25401</v>
      </c>
      <c r="H255" s="50" t="s">
        <v>220</v>
      </c>
      <c r="I255" s="51" t="s">
        <v>366</v>
      </c>
      <c r="J255" s="52" t="s">
        <v>450</v>
      </c>
      <c r="K255" s="53" t="s">
        <v>379</v>
      </c>
      <c r="L255" s="54" t="s">
        <v>379</v>
      </c>
      <c r="M255" s="55" t="s">
        <v>383</v>
      </c>
      <c r="N255" s="56">
        <v>2</v>
      </c>
      <c r="O255" s="57">
        <f>7.46*1.16</f>
        <v>8.6535999999999991</v>
      </c>
      <c r="P255" s="58" t="s">
        <v>380</v>
      </c>
      <c r="Q255" s="57">
        <f t="shared" si="14"/>
        <v>17.307199999999998</v>
      </c>
      <c r="R255" s="59">
        <v>0</v>
      </c>
      <c r="S255" s="59">
        <v>0</v>
      </c>
      <c r="T255" s="59">
        <v>0</v>
      </c>
      <c r="U255" s="59">
        <v>8.6535999999999991</v>
      </c>
      <c r="V255" s="59">
        <v>8.6535999999999991</v>
      </c>
      <c r="W255" s="59">
        <v>0</v>
      </c>
      <c r="X255" s="59">
        <v>0</v>
      </c>
      <c r="Y255" s="59">
        <v>0</v>
      </c>
      <c r="Z255" s="59">
        <v>0</v>
      </c>
      <c r="AA255" s="59">
        <v>0</v>
      </c>
      <c r="AB255" s="59">
        <v>0</v>
      </c>
      <c r="AC255" s="59">
        <v>0</v>
      </c>
      <c r="AE255" s="60"/>
      <c r="AF255" s="60"/>
    </row>
    <row r="256" spans="1:32" s="4" customFormat="1" ht="30.6" x14ac:dyDescent="0.3">
      <c r="A256" s="46" t="s">
        <v>377</v>
      </c>
      <c r="B256" s="47" t="s">
        <v>378</v>
      </c>
      <c r="C256" s="35" t="s">
        <v>69</v>
      </c>
      <c r="D256" s="48" t="s">
        <v>70</v>
      </c>
      <c r="E256" s="35" t="s">
        <v>443</v>
      </c>
      <c r="F256" s="48" t="s">
        <v>444</v>
      </c>
      <c r="G256" s="49">
        <v>25401</v>
      </c>
      <c r="H256" s="50" t="s">
        <v>220</v>
      </c>
      <c r="I256" s="51" t="s">
        <v>366</v>
      </c>
      <c r="J256" s="52" t="s">
        <v>450</v>
      </c>
      <c r="K256" s="53" t="s">
        <v>379</v>
      </c>
      <c r="L256" s="54" t="s">
        <v>379</v>
      </c>
      <c r="M256" s="55" t="s">
        <v>383</v>
      </c>
      <c r="N256" s="56">
        <v>2</v>
      </c>
      <c r="O256" s="57">
        <f>7.47*1.16</f>
        <v>8.6651999999999987</v>
      </c>
      <c r="P256" s="58" t="s">
        <v>380</v>
      </c>
      <c r="Q256" s="57">
        <f t="shared" si="14"/>
        <v>17.330399999999997</v>
      </c>
      <c r="R256" s="59">
        <v>0</v>
      </c>
      <c r="S256" s="59">
        <v>0</v>
      </c>
      <c r="T256" s="59">
        <v>0</v>
      </c>
      <c r="U256" s="59">
        <v>8.6651999999999987</v>
      </c>
      <c r="V256" s="59">
        <v>8.6651999999999987</v>
      </c>
      <c r="W256" s="59">
        <v>0</v>
      </c>
      <c r="X256" s="59">
        <v>0</v>
      </c>
      <c r="Y256" s="59">
        <v>0</v>
      </c>
      <c r="Z256" s="59">
        <v>0</v>
      </c>
      <c r="AA256" s="59">
        <v>0</v>
      </c>
      <c r="AB256" s="59">
        <v>0</v>
      </c>
      <c r="AC256" s="59">
        <v>0</v>
      </c>
      <c r="AE256" s="60"/>
      <c r="AF256" s="60"/>
    </row>
    <row r="257" spans="1:32" s="4" customFormat="1" ht="30.6" x14ac:dyDescent="0.3">
      <c r="A257" s="46" t="s">
        <v>377</v>
      </c>
      <c r="B257" s="47" t="s">
        <v>378</v>
      </c>
      <c r="C257" s="35" t="s">
        <v>69</v>
      </c>
      <c r="D257" s="48" t="s">
        <v>70</v>
      </c>
      <c r="E257" s="35" t="s">
        <v>443</v>
      </c>
      <c r="F257" s="48" t="s">
        <v>444</v>
      </c>
      <c r="G257" s="49">
        <v>25401</v>
      </c>
      <c r="H257" s="50" t="s">
        <v>220</v>
      </c>
      <c r="I257" s="51" t="s">
        <v>366</v>
      </c>
      <c r="J257" s="52" t="s">
        <v>450</v>
      </c>
      <c r="K257" s="53" t="s">
        <v>379</v>
      </c>
      <c r="L257" s="54" t="s">
        <v>379</v>
      </c>
      <c r="M257" s="55" t="s">
        <v>383</v>
      </c>
      <c r="N257" s="56">
        <v>2</v>
      </c>
      <c r="O257" s="57">
        <v>9.24</v>
      </c>
      <c r="P257" s="58" t="s">
        <v>380</v>
      </c>
      <c r="Q257" s="57">
        <f t="shared" si="14"/>
        <v>18.48</v>
      </c>
      <c r="R257" s="59">
        <v>0</v>
      </c>
      <c r="S257" s="59">
        <v>0</v>
      </c>
      <c r="T257" s="59">
        <v>0</v>
      </c>
      <c r="U257" s="59">
        <v>0</v>
      </c>
      <c r="V257" s="59">
        <v>0</v>
      </c>
      <c r="W257" s="59">
        <v>0</v>
      </c>
      <c r="X257" s="59">
        <v>0</v>
      </c>
      <c r="Y257" s="59">
        <v>9.24</v>
      </c>
      <c r="Z257" s="59">
        <v>0</v>
      </c>
      <c r="AA257" s="59">
        <v>9.24</v>
      </c>
      <c r="AB257" s="59">
        <v>0</v>
      </c>
      <c r="AC257" s="59">
        <v>0</v>
      </c>
      <c r="AE257" s="60"/>
      <c r="AF257" s="60"/>
    </row>
    <row r="258" spans="1:32" s="4" customFormat="1" ht="55.2" x14ac:dyDescent="0.3">
      <c r="A258" s="46" t="s">
        <v>377</v>
      </c>
      <c r="B258" s="47" t="s">
        <v>378</v>
      </c>
      <c r="C258" s="35" t="s">
        <v>69</v>
      </c>
      <c r="D258" s="48" t="s">
        <v>70</v>
      </c>
      <c r="E258" s="35" t="s">
        <v>443</v>
      </c>
      <c r="F258" s="48" t="s">
        <v>444</v>
      </c>
      <c r="G258" s="49">
        <v>29901</v>
      </c>
      <c r="H258" s="50" t="s">
        <v>453</v>
      </c>
      <c r="I258" s="51" t="s">
        <v>454</v>
      </c>
      <c r="J258" s="52" t="s">
        <v>454</v>
      </c>
      <c r="K258" s="53" t="s">
        <v>379</v>
      </c>
      <c r="L258" s="54" t="s">
        <v>379</v>
      </c>
      <c r="M258" s="55" t="s">
        <v>383</v>
      </c>
      <c r="N258" s="56">
        <v>1</v>
      </c>
      <c r="O258" s="57">
        <v>2590</v>
      </c>
      <c r="P258" s="58" t="s">
        <v>380</v>
      </c>
      <c r="Q258" s="57">
        <f t="shared" si="14"/>
        <v>2590</v>
      </c>
      <c r="R258" s="59">
        <v>0</v>
      </c>
      <c r="S258" s="59">
        <v>2590</v>
      </c>
      <c r="T258" s="59">
        <v>0</v>
      </c>
      <c r="U258" s="59">
        <v>0</v>
      </c>
      <c r="V258" s="59">
        <v>0</v>
      </c>
      <c r="W258" s="59">
        <v>0</v>
      </c>
      <c r="X258" s="59">
        <v>0</v>
      </c>
      <c r="Y258" s="59">
        <v>0</v>
      </c>
      <c r="Z258" s="59">
        <v>0</v>
      </c>
      <c r="AA258" s="59">
        <v>0</v>
      </c>
      <c r="AB258" s="59">
        <v>0</v>
      </c>
      <c r="AC258" s="59">
        <v>0</v>
      </c>
      <c r="AE258" s="60"/>
      <c r="AF258" s="60"/>
    </row>
    <row r="259" spans="1:32" s="4" customFormat="1" ht="34.5" customHeight="1" x14ac:dyDescent="0.3">
      <c r="A259" s="46" t="s">
        <v>377</v>
      </c>
      <c r="B259" s="47" t="s">
        <v>378</v>
      </c>
      <c r="C259" s="35" t="s">
        <v>69</v>
      </c>
      <c r="D259" s="48" t="s">
        <v>74</v>
      </c>
      <c r="E259" s="35" t="s">
        <v>455</v>
      </c>
      <c r="F259" s="48" t="s">
        <v>444</v>
      </c>
      <c r="G259" s="49">
        <v>21601</v>
      </c>
      <c r="H259" s="50" t="s">
        <v>212</v>
      </c>
      <c r="I259" s="51" t="s">
        <v>349</v>
      </c>
      <c r="J259" s="52" t="s">
        <v>78</v>
      </c>
      <c r="K259" s="53" t="s">
        <v>379</v>
      </c>
      <c r="L259" s="54" t="s">
        <v>379</v>
      </c>
      <c r="M259" s="55" t="s">
        <v>383</v>
      </c>
      <c r="N259" s="56">
        <v>35</v>
      </c>
      <c r="O259" s="57">
        <f>112*1.16</f>
        <v>129.91999999999999</v>
      </c>
      <c r="P259" s="58" t="s">
        <v>380</v>
      </c>
      <c r="Q259" s="57">
        <f>SUM(R259:AC259)</f>
        <v>4547.1999999999989</v>
      </c>
      <c r="R259" s="59">
        <v>0</v>
      </c>
      <c r="S259" s="59">
        <v>2468.4799999999996</v>
      </c>
      <c r="T259" s="59">
        <v>0</v>
      </c>
      <c r="U259" s="59">
        <v>0</v>
      </c>
      <c r="V259" s="59">
        <v>2078.7199999999998</v>
      </c>
      <c r="W259" s="59">
        <v>0</v>
      </c>
      <c r="X259" s="59">
        <v>0</v>
      </c>
      <c r="Y259" s="59">
        <v>0</v>
      </c>
      <c r="Z259" s="59">
        <v>0</v>
      </c>
      <c r="AA259" s="61">
        <v>0</v>
      </c>
      <c r="AB259" s="59">
        <v>0</v>
      </c>
      <c r="AC259" s="61">
        <v>0</v>
      </c>
      <c r="AE259" s="60"/>
      <c r="AF259" s="60"/>
    </row>
    <row r="260" spans="1:32" s="4" customFormat="1" ht="27.6" x14ac:dyDescent="0.3">
      <c r="A260" s="46" t="s">
        <v>377</v>
      </c>
      <c r="B260" s="47" t="s">
        <v>378</v>
      </c>
      <c r="C260" s="35" t="s">
        <v>69</v>
      </c>
      <c r="D260" s="48" t="s">
        <v>74</v>
      </c>
      <c r="E260" s="35" t="s">
        <v>455</v>
      </c>
      <c r="F260" s="48" t="s">
        <v>444</v>
      </c>
      <c r="G260" s="49">
        <v>21601</v>
      </c>
      <c r="H260" s="50" t="s">
        <v>212</v>
      </c>
      <c r="I260" s="51" t="s">
        <v>350</v>
      </c>
      <c r="J260" s="52" t="s">
        <v>445</v>
      </c>
      <c r="K260" s="53" t="s">
        <v>379</v>
      </c>
      <c r="L260" s="54" t="s">
        <v>379</v>
      </c>
      <c r="M260" s="55" t="s">
        <v>56</v>
      </c>
      <c r="N260" s="56">
        <v>151</v>
      </c>
      <c r="O260" s="57">
        <f>25*1.16</f>
        <v>28.999999999999996</v>
      </c>
      <c r="P260" s="58" t="s">
        <v>380</v>
      </c>
      <c r="Q260" s="57">
        <f>SUM(R260:AC260)</f>
        <v>4378.9999999999991</v>
      </c>
      <c r="R260" s="59">
        <v>0</v>
      </c>
      <c r="S260" s="59">
        <v>1449.9999999999998</v>
      </c>
      <c r="T260" s="59">
        <v>0</v>
      </c>
      <c r="U260" s="59">
        <v>0</v>
      </c>
      <c r="V260" s="59">
        <v>0</v>
      </c>
      <c r="W260" s="59">
        <v>0</v>
      </c>
      <c r="X260" s="59">
        <v>2928.9999999999995</v>
      </c>
      <c r="Y260" s="59">
        <v>0</v>
      </c>
      <c r="Z260" s="59">
        <v>0</v>
      </c>
      <c r="AA260" s="61">
        <v>0</v>
      </c>
      <c r="AB260" s="59">
        <v>0</v>
      </c>
      <c r="AC260" s="61">
        <v>0</v>
      </c>
      <c r="AE260" s="60"/>
      <c r="AF260" s="60"/>
    </row>
    <row r="261" spans="1:32" s="4" customFormat="1" x14ac:dyDescent="0.3">
      <c r="A261" s="46" t="s">
        <v>377</v>
      </c>
      <c r="B261" s="47" t="s">
        <v>378</v>
      </c>
      <c r="C261" s="35" t="s">
        <v>69</v>
      </c>
      <c r="D261" s="48" t="s">
        <v>74</v>
      </c>
      <c r="E261" s="35" t="s">
        <v>455</v>
      </c>
      <c r="F261" s="48" t="s">
        <v>444</v>
      </c>
      <c r="G261" s="49">
        <v>21601</v>
      </c>
      <c r="H261" s="50" t="s">
        <v>212</v>
      </c>
      <c r="I261" s="51" t="s">
        <v>349</v>
      </c>
      <c r="J261" s="52" t="s">
        <v>78</v>
      </c>
      <c r="K261" s="53" t="s">
        <v>379</v>
      </c>
      <c r="L261" s="54" t="s">
        <v>379</v>
      </c>
      <c r="M261" s="55" t="s">
        <v>383</v>
      </c>
      <c r="N261" s="56">
        <v>2</v>
      </c>
      <c r="O261" s="57">
        <f>56.69*1.16</f>
        <v>65.76039999999999</v>
      </c>
      <c r="P261" s="58" t="s">
        <v>380</v>
      </c>
      <c r="Q261" s="57">
        <f>SUM(R261:AC261)</f>
        <v>131.52079999999998</v>
      </c>
      <c r="R261" s="59">
        <v>0</v>
      </c>
      <c r="S261" s="59">
        <v>131.52079999999998</v>
      </c>
      <c r="T261" s="59">
        <v>0</v>
      </c>
      <c r="U261" s="59">
        <v>0</v>
      </c>
      <c r="V261" s="59">
        <v>0</v>
      </c>
      <c r="W261" s="59">
        <v>0</v>
      </c>
      <c r="X261" s="59">
        <v>0</v>
      </c>
      <c r="Y261" s="59">
        <v>0</v>
      </c>
      <c r="Z261" s="59">
        <v>0</v>
      </c>
      <c r="AA261" s="61">
        <v>0</v>
      </c>
      <c r="AB261" s="59">
        <v>0</v>
      </c>
      <c r="AC261" s="61">
        <v>0</v>
      </c>
      <c r="AE261" s="60"/>
      <c r="AF261" s="60"/>
    </row>
    <row r="262" spans="1:32" s="4" customFormat="1" x14ac:dyDescent="0.3">
      <c r="A262" s="46" t="s">
        <v>377</v>
      </c>
      <c r="B262" s="47" t="s">
        <v>378</v>
      </c>
      <c r="C262" s="35" t="s">
        <v>69</v>
      </c>
      <c r="D262" s="48" t="s">
        <v>74</v>
      </c>
      <c r="E262" s="35" t="s">
        <v>455</v>
      </c>
      <c r="F262" s="48" t="s">
        <v>444</v>
      </c>
      <c r="G262" s="49">
        <v>21601</v>
      </c>
      <c r="H262" s="50" t="s">
        <v>212</v>
      </c>
      <c r="I262" s="51" t="s">
        <v>348</v>
      </c>
      <c r="J262" s="52" t="s">
        <v>456</v>
      </c>
      <c r="K262" s="53" t="s">
        <v>379</v>
      </c>
      <c r="L262" s="54" t="s">
        <v>379</v>
      </c>
      <c r="M262" s="55" t="s">
        <v>79</v>
      </c>
      <c r="N262" s="56">
        <v>48</v>
      </c>
      <c r="O262" s="57">
        <f>56*1.16</f>
        <v>64.959999999999994</v>
      </c>
      <c r="P262" s="58" t="s">
        <v>380</v>
      </c>
      <c r="Q262" s="57">
        <f t="shared" si="14"/>
        <v>3118.08</v>
      </c>
      <c r="R262" s="59">
        <v>0</v>
      </c>
      <c r="S262" s="59">
        <v>0</v>
      </c>
      <c r="T262" s="59">
        <v>1039.3599999999999</v>
      </c>
      <c r="U262" s="59">
        <v>0</v>
      </c>
      <c r="V262" s="59">
        <v>0</v>
      </c>
      <c r="W262" s="59">
        <v>0</v>
      </c>
      <c r="X262" s="59">
        <v>0</v>
      </c>
      <c r="Y262" s="59">
        <v>0</v>
      </c>
      <c r="Z262" s="59">
        <v>1039.3599999999999</v>
      </c>
      <c r="AA262" s="61">
        <v>0</v>
      </c>
      <c r="AB262" s="59">
        <v>1039.3599999999999</v>
      </c>
      <c r="AC262" s="61">
        <v>0</v>
      </c>
      <c r="AE262" s="60"/>
      <c r="AF262" s="60"/>
    </row>
    <row r="263" spans="1:32" s="4" customFormat="1" x14ac:dyDescent="0.3">
      <c r="A263" s="46" t="s">
        <v>377</v>
      </c>
      <c r="B263" s="47" t="s">
        <v>378</v>
      </c>
      <c r="C263" s="35" t="s">
        <v>69</v>
      </c>
      <c r="D263" s="48" t="s">
        <v>74</v>
      </c>
      <c r="E263" s="35" t="s">
        <v>455</v>
      </c>
      <c r="F263" s="48" t="s">
        <v>444</v>
      </c>
      <c r="G263" s="49">
        <v>21601</v>
      </c>
      <c r="H263" s="50" t="s">
        <v>212</v>
      </c>
      <c r="I263" s="51" t="s">
        <v>349</v>
      </c>
      <c r="J263" s="52" t="s">
        <v>78</v>
      </c>
      <c r="K263" s="53" t="s">
        <v>379</v>
      </c>
      <c r="L263" s="54" t="s">
        <v>379</v>
      </c>
      <c r="M263" s="55" t="s">
        <v>383</v>
      </c>
      <c r="N263" s="56">
        <v>3</v>
      </c>
      <c r="O263" s="57">
        <f>52.28*1.16</f>
        <v>60.644799999999996</v>
      </c>
      <c r="P263" s="58" t="s">
        <v>380</v>
      </c>
      <c r="Q263" s="57">
        <f>SUM(R263:AC263)</f>
        <v>181.93439999999998</v>
      </c>
      <c r="R263" s="59">
        <v>0</v>
      </c>
      <c r="S263" s="59">
        <v>0</v>
      </c>
      <c r="T263" s="59">
        <v>60.644799999999996</v>
      </c>
      <c r="U263" s="59">
        <v>0</v>
      </c>
      <c r="V263" s="59">
        <v>0</v>
      </c>
      <c r="W263" s="59">
        <v>0</v>
      </c>
      <c r="X263" s="59">
        <v>0</v>
      </c>
      <c r="Y263" s="59">
        <v>0</v>
      </c>
      <c r="Z263" s="59">
        <v>60.644799999999996</v>
      </c>
      <c r="AA263" s="61">
        <v>0</v>
      </c>
      <c r="AB263" s="59">
        <v>60.644799999999996</v>
      </c>
      <c r="AC263" s="61">
        <v>0</v>
      </c>
      <c r="AE263" s="60"/>
      <c r="AF263" s="60"/>
    </row>
    <row r="264" spans="1:32" s="4" customFormat="1" ht="27.6" x14ac:dyDescent="0.3">
      <c r="A264" s="46" t="s">
        <v>377</v>
      </c>
      <c r="B264" s="47" t="s">
        <v>378</v>
      </c>
      <c r="C264" s="35" t="s">
        <v>69</v>
      </c>
      <c r="D264" s="48" t="s">
        <v>74</v>
      </c>
      <c r="E264" s="35" t="s">
        <v>455</v>
      </c>
      <c r="F264" s="48" t="s">
        <v>444</v>
      </c>
      <c r="G264" s="49">
        <v>21601</v>
      </c>
      <c r="H264" s="50" t="s">
        <v>212</v>
      </c>
      <c r="I264" s="51" t="s">
        <v>350</v>
      </c>
      <c r="J264" s="52" t="s">
        <v>445</v>
      </c>
      <c r="K264" s="53" t="s">
        <v>379</v>
      </c>
      <c r="L264" s="54" t="s">
        <v>379</v>
      </c>
      <c r="M264" s="55" t="s">
        <v>56</v>
      </c>
      <c r="N264" s="56">
        <v>1</v>
      </c>
      <c r="O264" s="57">
        <v>31.28</v>
      </c>
      <c r="P264" s="58" t="s">
        <v>380</v>
      </c>
      <c r="Q264" s="57">
        <v>31.28</v>
      </c>
      <c r="R264" s="61">
        <v>0</v>
      </c>
      <c r="S264" s="61">
        <v>0</v>
      </c>
      <c r="T264" s="61">
        <v>0</v>
      </c>
      <c r="U264" s="61">
        <v>0</v>
      </c>
      <c r="V264" s="59">
        <v>31.28</v>
      </c>
      <c r="W264" s="59">
        <v>0</v>
      </c>
      <c r="X264" s="59">
        <v>0</v>
      </c>
      <c r="Y264" s="59">
        <v>0</v>
      </c>
      <c r="Z264" s="61">
        <v>0</v>
      </c>
      <c r="AA264" s="61">
        <v>0</v>
      </c>
      <c r="AB264" s="61">
        <v>0</v>
      </c>
      <c r="AC264" s="61">
        <v>0</v>
      </c>
      <c r="AE264" s="60"/>
      <c r="AF264" s="60"/>
    </row>
    <row r="265" spans="1:32" s="4" customFormat="1" ht="27.6" x14ac:dyDescent="0.3">
      <c r="A265" s="46" t="s">
        <v>377</v>
      </c>
      <c r="B265" s="47" t="s">
        <v>378</v>
      </c>
      <c r="C265" s="35" t="s">
        <v>69</v>
      </c>
      <c r="D265" s="48" t="s">
        <v>74</v>
      </c>
      <c r="E265" s="35" t="s">
        <v>455</v>
      </c>
      <c r="F265" s="48" t="s">
        <v>444</v>
      </c>
      <c r="G265" s="49">
        <v>21601</v>
      </c>
      <c r="H265" s="50" t="s">
        <v>212</v>
      </c>
      <c r="I265" s="51" t="s">
        <v>350</v>
      </c>
      <c r="J265" s="52" t="s">
        <v>445</v>
      </c>
      <c r="K265" s="53" t="s">
        <v>379</v>
      </c>
      <c r="L265" s="54" t="s">
        <v>379</v>
      </c>
      <c r="M265" s="55" t="s">
        <v>56</v>
      </c>
      <c r="N265" s="56">
        <v>1</v>
      </c>
      <c r="O265" s="57">
        <f>18.1*1.16</f>
        <v>20.995999999999999</v>
      </c>
      <c r="P265" s="58" t="s">
        <v>380</v>
      </c>
      <c r="Q265" s="57">
        <f t="shared" ref="Q265:Q307" si="15">SUM(R265:AC265)</f>
        <v>20.995999999999999</v>
      </c>
      <c r="R265" s="61">
        <v>0</v>
      </c>
      <c r="S265" s="61">
        <v>0</v>
      </c>
      <c r="T265" s="61">
        <v>0</v>
      </c>
      <c r="U265" s="61">
        <v>0</v>
      </c>
      <c r="V265" s="61">
        <v>0</v>
      </c>
      <c r="W265" s="61">
        <v>0</v>
      </c>
      <c r="X265" s="59">
        <v>20.995999999999999</v>
      </c>
      <c r="Y265" s="59">
        <v>0</v>
      </c>
      <c r="Z265" s="61">
        <v>0</v>
      </c>
      <c r="AA265" s="61">
        <v>0</v>
      </c>
      <c r="AB265" s="61">
        <v>0</v>
      </c>
      <c r="AC265" s="61">
        <v>0</v>
      </c>
      <c r="AE265" s="60"/>
      <c r="AF265" s="60"/>
    </row>
    <row r="266" spans="1:32" s="4" customFormat="1" ht="27" customHeight="1" x14ac:dyDescent="0.3">
      <c r="A266" s="46" t="s">
        <v>377</v>
      </c>
      <c r="B266" s="47" t="s">
        <v>378</v>
      </c>
      <c r="C266" s="35" t="s">
        <v>69</v>
      </c>
      <c r="D266" s="48" t="s">
        <v>74</v>
      </c>
      <c r="E266" s="35" t="s">
        <v>455</v>
      </c>
      <c r="F266" s="48" t="s">
        <v>444</v>
      </c>
      <c r="G266" s="49">
        <v>25401</v>
      </c>
      <c r="H266" s="50" t="s">
        <v>220</v>
      </c>
      <c r="I266" s="51" t="s">
        <v>448</v>
      </c>
      <c r="J266" s="52" t="s">
        <v>447</v>
      </c>
      <c r="K266" s="53" t="s">
        <v>379</v>
      </c>
      <c r="L266" s="54" t="s">
        <v>379</v>
      </c>
      <c r="M266" s="55" t="s">
        <v>383</v>
      </c>
      <c r="N266" s="56">
        <v>68</v>
      </c>
      <c r="O266" s="57">
        <f>43*1.16</f>
        <v>49.879999999999995</v>
      </c>
      <c r="P266" s="58" t="s">
        <v>380</v>
      </c>
      <c r="Q266" s="57">
        <f t="shared" si="15"/>
        <v>3391.84</v>
      </c>
      <c r="R266" s="59">
        <v>0</v>
      </c>
      <c r="S266" s="59">
        <v>748.19999999999993</v>
      </c>
      <c r="T266" s="59">
        <v>897.83999999999992</v>
      </c>
      <c r="U266" s="59">
        <v>0</v>
      </c>
      <c r="V266" s="59">
        <v>0</v>
      </c>
      <c r="W266" s="59">
        <v>0</v>
      </c>
      <c r="X266" s="59">
        <v>0</v>
      </c>
      <c r="Y266" s="59">
        <v>897.83999999999992</v>
      </c>
      <c r="Z266" s="59">
        <v>0</v>
      </c>
      <c r="AA266" s="59">
        <v>847.95999999999992</v>
      </c>
      <c r="AB266" s="59">
        <v>0</v>
      </c>
      <c r="AC266" s="59">
        <v>0</v>
      </c>
      <c r="AE266" s="60"/>
      <c r="AF266" s="60"/>
    </row>
    <row r="267" spans="1:32" s="4" customFormat="1" ht="30.6" x14ac:dyDescent="0.3">
      <c r="A267" s="46" t="s">
        <v>377</v>
      </c>
      <c r="B267" s="47" t="s">
        <v>378</v>
      </c>
      <c r="C267" s="35" t="s">
        <v>69</v>
      </c>
      <c r="D267" s="48" t="s">
        <v>74</v>
      </c>
      <c r="E267" s="35" t="s">
        <v>455</v>
      </c>
      <c r="F267" s="48" t="s">
        <v>444</v>
      </c>
      <c r="G267" s="49">
        <v>25401</v>
      </c>
      <c r="H267" s="50" t="s">
        <v>220</v>
      </c>
      <c r="I267" s="51" t="s">
        <v>366</v>
      </c>
      <c r="J267" s="52" t="s">
        <v>449</v>
      </c>
      <c r="K267" s="53" t="s">
        <v>379</v>
      </c>
      <c r="L267" s="54" t="s">
        <v>379</v>
      </c>
      <c r="M267" s="55" t="s">
        <v>63</v>
      </c>
      <c r="N267" s="56">
        <v>13</v>
      </c>
      <c r="O267" s="57">
        <f>294*1.16</f>
        <v>341.03999999999996</v>
      </c>
      <c r="P267" s="58" t="s">
        <v>380</v>
      </c>
      <c r="Q267" s="57">
        <f t="shared" si="15"/>
        <v>4433.5199999999995</v>
      </c>
      <c r="R267" s="59">
        <v>0</v>
      </c>
      <c r="S267" s="59">
        <v>1364.1599999999999</v>
      </c>
      <c r="T267" s="59">
        <v>1364.1599999999999</v>
      </c>
      <c r="U267" s="59">
        <v>0</v>
      </c>
      <c r="V267" s="59">
        <v>0</v>
      </c>
      <c r="W267" s="59">
        <v>0</v>
      </c>
      <c r="X267" s="59">
        <v>0</v>
      </c>
      <c r="Y267" s="59">
        <v>1364.1599999999999</v>
      </c>
      <c r="Z267" s="59">
        <v>0</v>
      </c>
      <c r="AA267" s="59">
        <v>341.03999999999996</v>
      </c>
      <c r="AB267" s="59">
        <v>0</v>
      </c>
      <c r="AC267" s="59">
        <v>0</v>
      </c>
      <c r="AE267" s="60"/>
      <c r="AF267" s="60"/>
    </row>
    <row r="268" spans="1:32" s="4" customFormat="1" ht="30.6" x14ac:dyDescent="0.3">
      <c r="A268" s="46" t="s">
        <v>377</v>
      </c>
      <c r="B268" s="47" t="s">
        <v>378</v>
      </c>
      <c r="C268" s="35" t="s">
        <v>69</v>
      </c>
      <c r="D268" s="48" t="s">
        <v>74</v>
      </c>
      <c r="E268" s="35" t="s">
        <v>455</v>
      </c>
      <c r="F268" s="48" t="s">
        <v>444</v>
      </c>
      <c r="G268" s="49">
        <v>25401</v>
      </c>
      <c r="H268" s="50" t="s">
        <v>220</v>
      </c>
      <c r="I268" s="51" t="s">
        <v>366</v>
      </c>
      <c r="J268" s="52" t="s">
        <v>450</v>
      </c>
      <c r="K268" s="53" t="s">
        <v>379</v>
      </c>
      <c r="L268" s="54" t="s">
        <v>379</v>
      </c>
      <c r="M268" s="55" t="s">
        <v>383</v>
      </c>
      <c r="N268" s="56">
        <v>1224</v>
      </c>
      <c r="O268" s="57">
        <f>7*1.16</f>
        <v>8.1199999999999992</v>
      </c>
      <c r="P268" s="58" t="s">
        <v>380</v>
      </c>
      <c r="Q268" s="57">
        <f t="shared" si="15"/>
        <v>9938.8799999999992</v>
      </c>
      <c r="R268" s="59">
        <v>0</v>
      </c>
      <c r="S268" s="59">
        <v>2054.3599999999997</v>
      </c>
      <c r="T268" s="59">
        <v>2094.9599999999996</v>
      </c>
      <c r="U268" s="59">
        <v>81.199999999999989</v>
      </c>
      <c r="V268" s="59">
        <v>1185.52</v>
      </c>
      <c r="W268" s="59">
        <v>81.199999999999989</v>
      </c>
      <c r="X268" s="59">
        <v>0</v>
      </c>
      <c r="Y268" s="59">
        <v>3256.12</v>
      </c>
      <c r="Z268" s="59">
        <v>0</v>
      </c>
      <c r="AA268" s="59">
        <v>0</v>
      </c>
      <c r="AB268" s="59">
        <v>1185.52</v>
      </c>
      <c r="AC268" s="59">
        <v>0</v>
      </c>
      <c r="AE268" s="60"/>
      <c r="AF268" s="60"/>
    </row>
    <row r="269" spans="1:32" s="4" customFormat="1" ht="30.6" x14ac:dyDescent="0.3">
      <c r="A269" s="46" t="s">
        <v>377</v>
      </c>
      <c r="B269" s="47" t="s">
        <v>378</v>
      </c>
      <c r="C269" s="35" t="s">
        <v>69</v>
      </c>
      <c r="D269" s="48" t="s">
        <v>74</v>
      </c>
      <c r="E269" s="35" t="s">
        <v>455</v>
      </c>
      <c r="F269" s="48" t="s">
        <v>444</v>
      </c>
      <c r="G269" s="49">
        <v>25401</v>
      </c>
      <c r="H269" s="50" t="s">
        <v>220</v>
      </c>
      <c r="I269" s="51" t="s">
        <v>366</v>
      </c>
      <c r="J269" s="52" t="s">
        <v>451</v>
      </c>
      <c r="K269" s="53" t="s">
        <v>379</v>
      </c>
      <c r="L269" s="54" t="s">
        <v>379</v>
      </c>
      <c r="M269" s="55" t="s">
        <v>383</v>
      </c>
      <c r="N269" s="56">
        <v>500</v>
      </c>
      <c r="O269" s="57">
        <f>0.7*1.16</f>
        <v>0.81199999999999994</v>
      </c>
      <c r="P269" s="58" t="s">
        <v>380</v>
      </c>
      <c r="Q269" s="57">
        <f t="shared" si="15"/>
        <v>406</v>
      </c>
      <c r="R269" s="59">
        <v>0</v>
      </c>
      <c r="S269" s="59">
        <v>121.8</v>
      </c>
      <c r="T269" s="59">
        <v>121.8</v>
      </c>
      <c r="U269" s="59">
        <v>0</v>
      </c>
      <c r="V269" s="59">
        <v>0</v>
      </c>
      <c r="W269" s="59">
        <v>0</v>
      </c>
      <c r="X269" s="59">
        <v>0</v>
      </c>
      <c r="Y269" s="59">
        <v>162.39999999999998</v>
      </c>
      <c r="Z269" s="59">
        <v>0</v>
      </c>
      <c r="AA269" s="59">
        <v>0</v>
      </c>
      <c r="AB269" s="59">
        <v>0</v>
      </c>
      <c r="AC269" s="59">
        <v>0</v>
      </c>
      <c r="AE269" s="60"/>
      <c r="AF269" s="60"/>
    </row>
    <row r="270" spans="1:32" s="4" customFormat="1" ht="30.6" x14ac:dyDescent="0.3">
      <c r="A270" s="46" t="s">
        <v>377</v>
      </c>
      <c r="B270" s="47" t="s">
        <v>378</v>
      </c>
      <c r="C270" s="35" t="s">
        <v>69</v>
      </c>
      <c r="D270" s="48" t="s">
        <v>74</v>
      </c>
      <c r="E270" s="35" t="s">
        <v>455</v>
      </c>
      <c r="F270" s="48" t="s">
        <v>444</v>
      </c>
      <c r="G270" s="49">
        <v>25401</v>
      </c>
      <c r="H270" s="50" t="s">
        <v>220</v>
      </c>
      <c r="I270" s="51" t="s">
        <v>366</v>
      </c>
      <c r="J270" s="52" t="s">
        <v>450</v>
      </c>
      <c r="K270" s="53" t="s">
        <v>379</v>
      </c>
      <c r="L270" s="54" t="s">
        <v>379</v>
      </c>
      <c r="M270" s="55" t="s">
        <v>383</v>
      </c>
      <c r="N270" s="56">
        <v>2</v>
      </c>
      <c r="O270" s="57">
        <f>4.95*1.16</f>
        <v>5.742</v>
      </c>
      <c r="P270" s="58" t="s">
        <v>380</v>
      </c>
      <c r="Q270" s="57">
        <f t="shared" si="15"/>
        <v>11.484</v>
      </c>
      <c r="R270" s="59">
        <v>0</v>
      </c>
      <c r="S270" s="59">
        <v>11.484</v>
      </c>
      <c r="T270" s="59">
        <v>0</v>
      </c>
      <c r="U270" s="59">
        <v>0</v>
      </c>
      <c r="V270" s="59">
        <v>0</v>
      </c>
      <c r="W270" s="59">
        <v>0</v>
      </c>
      <c r="X270" s="59">
        <v>0</v>
      </c>
      <c r="Y270" s="59">
        <v>0</v>
      </c>
      <c r="Z270" s="59">
        <v>0</v>
      </c>
      <c r="AA270" s="59">
        <v>0</v>
      </c>
      <c r="AB270" s="59">
        <v>0</v>
      </c>
      <c r="AC270" s="59">
        <v>0</v>
      </c>
      <c r="AE270" s="60"/>
      <c r="AF270" s="60"/>
    </row>
    <row r="271" spans="1:32" s="4" customFormat="1" ht="30.6" x14ac:dyDescent="0.3">
      <c r="A271" s="46" t="s">
        <v>377</v>
      </c>
      <c r="B271" s="47" t="s">
        <v>378</v>
      </c>
      <c r="C271" s="35" t="s">
        <v>69</v>
      </c>
      <c r="D271" s="48" t="s">
        <v>74</v>
      </c>
      <c r="E271" s="35" t="s">
        <v>455</v>
      </c>
      <c r="F271" s="48" t="s">
        <v>444</v>
      </c>
      <c r="G271" s="49">
        <v>25401</v>
      </c>
      <c r="H271" s="50" t="s">
        <v>220</v>
      </c>
      <c r="I271" s="51" t="s">
        <v>366</v>
      </c>
      <c r="J271" s="52" t="s">
        <v>450</v>
      </c>
      <c r="K271" s="53" t="s">
        <v>379</v>
      </c>
      <c r="L271" s="54" t="s">
        <v>379</v>
      </c>
      <c r="M271" s="55" t="s">
        <v>383</v>
      </c>
      <c r="N271" s="56">
        <v>2</v>
      </c>
      <c r="O271" s="57">
        <v>8.3800000000000008</v>
      </c>
      <c r="P271" s="58" t="s">
        <v>380</v>
      </c>
      <c r="Q271" s="57">
        <f t="shared" si="15"/>
        <v>16.760000000000002</v>
      </c>
      <c r="R271" s="59">
        <v>0</v>
      </c>
      <c r="S271" s="59">
        <v>0</v>
      </c>
      <c r="T271" s="59">
        <v>16.760000000000002</v>
      </c>
      <c r="U271" s="59">
        <v>0</v>
      </c>
      <c r="V271" s="59">
        <v>0</v>
      </c>
      <c r="W271" s="59">
        <v>0</v>
      </c>
      <c r="X271" s="59">
        <v>0</v>
      </c>
      <c r="Y271" s="59">
        <v>0</v>
      </c>
      <c r="Z271" s="59">
        <v>0</v>
      </c>
      <c r="AA271" s="59">
        <v>0</v>
      </c>
      <c r="AB271" s="59">
        <v>0</v>
      </c>
      <c r="AC271" s="59">
        <v>0</v>
      </c>
      <c r="AE271" s="60"/>
      <c r="AF271" s="60"/>
    </row>
    <row r="272" spans="1:32" s="4" customFormat="1" ht="30.6" x14ac:dyDescent="0.3">
      <c r="A272" s="46" t="s">
        <v>377</v>
      </c>
      <c r="B272" s="47" t="s">
        <v>378</v>
      </c>
      <c r="C272" s="35" t="s">
        <v>69</v>
      </c>
      <c r="D272" s="48" t="s">
        <v>74</v>
      </c>
      <c r="E272" s="35" t="s">
        <v>455</v>
      </c>
      <c r="F272" s="48" t="s">
        <v>444</v>
      </c>
      <c r="G272" s="49">
        <v>25401</v>
      </c>
      <c r="H272" s="50" t="s">
        <v>220</v>
      </c>
      <c r="I272" s="51" t="s">
        <v>448</v>
      </c>
      <c r="J272" s="52" t="s">
        <v>452</v>
      </c>
      <c r="K272" s="53" t="s">
        <v>379</v>
      </c>
      <c r="L272" s="54" t="s">
        <v>379</v>
      </c>
      <c r="M272" s="55" t="s">
        <v>63</v>
      </c>
      <c r="N272" s="56">
        <v>7</v>
      </c>
      <c r="O272" s="57">
        <f>864*1.16</f>
        <v>1002.2399999999999</v>
      </c>
      <c r="P272" s="58" t="s">
        <v>380</v>
      </c>
      <c r="Q272" s="57">
        <f t="shared" si="15"/>
        <v>7015.6799999999994</v>
      </c>
      <c r="R272" s="59">
        <v>0</v>
      </c>
      <c r="S272" s="59">
        <v>0</v>
      </c>
      <c r="T272" s="59">
        <v>2004.4799999999998</v>
      </c>
      <c r="U272" s="59">
        <v>1002.2399999999999</v>
      </c>
      <c r="V272" s="59">
        <v>0</v>
      </c>
      <c r="W272" s="59">
        <v>1002.2399999999999</v>
      </c>
      <c r="X272" s="59">
        <v>0</v>
      </c>
      <c r="Y272" s="59">
        <v>2004.4799999999998</v>
      </c>
      <c r="Z272" s="59">
        <v>0</v>
      </c>
      <c r="AA272" s="59">
        <v>1002.2399999999999</v>
      </c>
      <c r="AB272" s="59">
        <v>0</v>
      </c>
      <c r="AC272" s="59">
        <v>0</v>
      </c>
      <c r="AE272" s="60"/>
      <c r="AF272" s="60"/>
    </row>
    <row r="273" spans="1:38" s="4" customFormat="1" ht="30.6" x14ac:dyDescent="0.3">
      <c r="A273" s="46" t="s">
        <v>377</v>
      </c>
      <c r="B273" s="47" t="s">
        <v>378</v>
      </c>
      <c r="C273" s="35" t="s">
        <v>69</v>
      </c>
      <c r="D273" s="48" t="s">
        <v>74</v>
      </c>
      <c r="E273" s="35" t="s">
        <v>455</v>
      </c>
      <c r="F273" s="48" t="s">
        <v>444</v>
      </c>
      <c r="G273" s="49">
        <v>25401</v>
      </c>
      <c r="H273" s="50" t="s">
        <v>220</v>
      </c>
      <c r="I273" s="51" t="s">
        <v>366</v>
      </c>
      <c r="J273" s="52" t="s">
        <v>450</v>
      </c>
      <c r="K273" s="53" t="s">
        <v>379</v>
      </c>
      <c r="L273" s="54" t="s">
        <v>379</v>
      </c>
      <c r="M273" s="55" t="s">
        <v>383</v>
      </c>
      <c r="N273" s="56">
        <v>6</v>
      </c>
      <c r="O273" s="57">
        <v>5.5209999999999999</v>
      </c>
      <c r="P273" s="58" t="s">
        <v>380</v>
      </c>
      <c r="Q273" s="57">
        <f>SUM(R273:AC273)</f>
        <v>33.129599999999996</v>
      </c>
      <c r="R273" s="59">
        <v>0</v>
      </c>
      <c r="S273" s="59">
        <v>0</v>
      </c>
      <c r="T273" s="59">
        <v>0</v>
      </c>
      <c r="U273" s="59">
        <v>16.564799999999998</v>
      </c>
      <c r="V273" s="59">
        <v>0</v>
      </c>
      <c r="W273" s="59">
        <v>16.564799999999998</v>
      </c>
      <c r="X273" s="59">
        <v>0</v>
      </c>
      <c r="Y273" s="59">
        <v>0</v>
      </c>
      <c r="Z273" s="59">
        <v>0</v>
      </c>
      <c r="AA273" s="59">
        <v>0</v>
      </c>
      <c r="AB273" s="59">
        <v>0</v>
      </c>
      <c r="AC273" s="59">
        <v>0</v>
      </c>
      <c r="AE273" s="60"/>
      <c r="AF273" s="60"/>
    </row>
    <row r="274" spans="1:38" s="4" customFormat="1" ht="30.6" x14ac:dyDescent="0.3">
      <c r="A274" s="46" t="s">
        <v>377</v>
      </c>
      <c r="B274" s="47" t="s">
        <v>378</v>
      </c>
      <c r="C274" s="35" t="s">
        <v>69</v>
      </c>
      <c r="D274" s="48" t="s">
        <v>74</v>
      </c>
      <c r="E274" s="35" t="s">
        <v>455</v>
      </c>
      <c r="F274" s="48" t="s">
        <v>444</v>
      </c>
      <c r="G274" s="49">
        <v>25401</v>
      </c>
      <c r="H274" s="50" t="s">
        <v>220</v>
      </c>
      <c r="I274" s="51" t="s">
        <v>366</v>
      </c>
      <c r="J274" s="52" t="s">
        <v>450</v>
      </c>
      <c r="K274" s="53" t="s">
        <v>379</v>
      </c>
      <c r="L274" s="54" t="s">
        <v>379</v>
      </c>
      <c r="M274" s="55" t="s">
        <v>383</v>
      </c>
      <c r="N274" s="56">
        <v>4</v>
      </c>
      <c r="O274" s="57">
        <f>6.24*1.16</f>
        <v>7.2383999999999995</v>
      </c>
      <c r="P274" s="58" t="s">
        <v>380</v>
      </c>
      <c r="Q274" s="57">
        <f t="shared" si="15"/>
        <v>28.953599999999998</v>
      </c>
      <c r="R274" s="59">
        <v>0</v>
      </c>
      <c r="S274" s="59">
        <v>0</v>
      </c>
      <c r="T274" s="59">
        <v>0</v>
      </c>
      <c r="U274" s="59">
        <v>0</v>
      </c>
      <c r="V274" s="59">
        <v>14.476799999999999</v>
      </c>
      <c r="W274" s="59">
        <v>0</v>
      </c>
      <c r="X274" s="59">
        <v>0</v>
      </c>
      <c r="Y274" s="59">
        <v>0</v>
      </c>
      <c r="Z274" s="59">
        <v>0</v>
      </c>
      <c r="AA274" s="59">
        <v>0</v>
      </c>
      <c r="AB274" s="59">
        <v>14.476799999999999</v>
      </c>
      <c r="AC274" s="59">
        <v>0</v>
      </c>
      <c r="AE274" s="60"/>
      <c r="AF274" s="60"/>
    </row>
    <row r="275" spans="1:38" s="4" customFormat="1" ht="30.6" x14ac:dyDescent="0.3">
      <c r="A275" s="46" t="s">
        <v>377</v>
      </c>
      <c r="B275" s="47" t="s">
        <v>378</v>
      </c>
      <c r="C275" s="35" t="s">
        <v>69</v>
      </c>
      <c r="D275" s="48" t="s">
        <v>74</v>
      </c>
      <c r="E275" s="35" t="s">
        <v>455</v>
      </c>
      <c r="F275" s="48" t="s">
        <v>444</v>
      </c>
      <c r="G275" s="49">
        <v>25401</v>
      </c>
      <c r="H275" s="50" t="s">
        <v>220</v>
      </c>
      <c r="I275" s="51" t="s">
        <v>366</v>
      </c>
      <c r="J275" s="52" t="s">
        <v>450</v>
      </c>
      <c r="K275" s="53" t="s">
        <v>379</v>
      </c>
      <c r="L275" s="54" t="s">
        <v>379</v>
      </c>
      <c r="M275" s="55" t="s">
        <v>383</v>
      </c>
      <c r="N275" s="56">
        <v>2</v>
      </c>
      <c r="O275" s="57">
        <v>7.5</v>
      </c>
      <c r="P275" s="58" t="s">
        <v>380</v>
      </c>
      <c r="Q275" s="57">
        <f t="shared" si="15"/>
        <v>15</v>
      </c>
      <c r="R275" s="59">
        <v>0</v>
      </c>
      <c r="S275" s="59">
        <v>0</v>
      </c>
      <c r="T275" s="59">
        <v>0</v>
      </c>
      <c r="U275" s="59">
        <v>0</v>
      </c>
      <c r="V275" s="59">
        <v>0</v>
      </c>
      <c r="W275" s="59">
        <v>0</v>
      </c>
      <c r="X275" s="59">
        <v>0</v>
      </c>
      <c r="Y275" s="59">
        <v>15</v>
      </c>
      <c r="Z275" s="59">
        <v>0</v>
      </c>
      <c r="AA275" s="59">
        <v>0</v>
      </c>
      <c r="AB275" s="59">
        <v>0</v>
      </c>
      <c r="AC275" s="59">
        <v>0</v>
      </c>
      <c r="AE275" s="60"/>
      <c r="AF275" s="60"/>
    </row>
    <row r="276" spans="1:38" s="4" customFormat="1" ht="30.6" x14ac:dyDescent="0.3">
      <c r="A276" s="46" t="s">
        <v>377</v>
      </c>
      <c r="B276" s="47" t="s">
        <v>378</v>
      </c>
      <c r="C276" s="35" t="s">
        <v>69</v>
      </c>
      <c r="D276" s="48" t="s">
        <v>74</v>
      </c>
      <c r="E276" s="35" t="s">
        <v>455</v>
      </c>
      <c r="F276" s="48" t="s">
        <v>444</v>
      </c>
      <c r="G276" s="49">
        <v>25401</v>
      </c>
      <c r="H276" s="50" t="s">
        <v>220</v>
      </c>
      <c r="I276" s="51" t="s">
        <v>366</v>
      </c>
      <c r="J276" s="52" t="s">
        <v>450</v>
      </c>
      <c r="K276" s="53" t="s">
        <v>379</v>
      </c>
      <c r="L276" s="54" t="s">
        <v>379</v>
      </c>
      <c r="M276" s="55" t="s">
        <v>383</v>
      </c>
      <c r="N276" s="56">
        <v>1</v>
      </c>
      <c r="O276" s="57">
        <f>7.55*1.16</f>
        <v>8.7579999999999991</v>
      </c>
      <c r="P276" s="58" t="s">
        <v>380</v>
      </c>
      <c r="Q276" s="57">
        <f t="shared" si="15"/>
        <v>8.7579999999999991</v>
      </c>
      <c r="R276" s="59">
        <v>0</v>
      </c>
      <c r="S276" s="59">
        <v>0</v>
      </c>
      <c r="T276" s="59">
        <v>0</v>
      </c>
      <c r="U276" s="59">
        <v>0</v>
      </c>
      <c r="V276" s="59">
        <v>0</v>
      </c>
      <c r="W276" s="59">
        <v>0</v>
      </c>
      <c r="X276" s="59">
        <v>0</v>
      </c>
      <c r="Y276" s="59">
        <v>0</v>
      </c>
      <c r="Z276" s="59">
        <v>0</v>
      </c>
      <c r="AA276" s="59">
        <v>8.7579999999999991</v>
      </c>
      <c r="AB276" s="59">
        <v>0</v>
      </c>
      <c r="AC276" s="59">
        <v>0</v>
      </c>
      <c r="AD276" s="60"/>
      <c r="AE276" s="60"/>
      <c r="AF276" s="60"/>
      <c r="AG276" s="60"/>
      <c r="AH276" s="60"/>
      <c r="AI276" s="60"/>
      <c r="AJ276" s="60"/>
      <c r="AK276" s="60"/>
      <c r="AL276" s="60"/>
    </row>
    <row r="277" spans="1:38" s="4" customFormat="1" ht="26.25" customHeight="1" x14ac:dyDescent="0.3">
      <c r="A277" s="46" t="s">
        <v>377</v>
      </c>
      <c r="B277" s="47" t="s">
        <v>378</v>
      </c>
      <c r="C277" s="35" t="s">
        <v>69</v>
      </c>
      <c r="D277" s="48" t="s">
        <v>74</v>
      </c>
      <c r="E277" s="35" t="s">
        <v>455</v>
      </c>
      <c r="F277" s="48" t="s">
        <v>87</v>
      </c>
      <c r="G277" s="49">
        <v>21101</v>
      </c>
      <c r="H277" s="50" t="s">
        <v>211</v>
      </c>
      <c r="I277" s="51" t="s">
        <v>457</v>
      </c>
      <c r="J277" s="52" t="s">
        <v>458</v>
      </c>
      <c r="K277" s="53" t="s">
        <v>379</v>
      </c>
      <c r="L277" s="54" t="s">
        <v>379</v>
      </c>
      <c r="M277" s="55" t="s">
        <v>383</v>
      </c>
      <c r="N277" s="56">
        <v>1</v>
      </c>
      <c r="O277" s="57">
        <f>172.41*1.16</f>
        <v>199.9956</v>
      </c>
      <c r="P277" s="58" t="s">
        <v>380</v>
      </c>
      <c r="Q277" s="57">
        <f t="shared" si="15"/>
        <v>199.9956</v>
      </c>
      <c r="R277" s="59">
        <v>0</v>
      </c>
      <c r="S277" s="59">
        <v>199.9956</v>
      </c>
      <c r="T277" s="59">
        <v>0</v>
      </c>
      <c r="U277" s="59">
        <v>0</v>
      </c>
      <c r="V277" s="59">
        <v>0</v>
      </c>
      <c r="W277" s="59">
        <v>0</v>
      </c>
      <c r="X277" s="59">
        <v>0</v>
      </c>
      <c r="Y277" s="59">
        <v>0</v>
      </c>
      <c r="Z277" s="59">
        <v>0</v>
      </c>
      <c r="AA277" s="59">
        <v>0</v>
      </c>
      <c r="AB277" s="59">
        <v>0</v>
      </c>
      <c r="AC277" s="59">
        <v>0</v>
      </c>
      <c r="AE277" s="60"/>
      <c r="AF277" s="60"/>
    </row>
    <row r="278" spans="1:38" s="4" customFormat="1" ht="27.6" x14ac:dyDescent="0.3">
      <c r="A278" s="46" t="s">
        <v>377</v>
      </c>
      <c r="B278" s="47" t="s">
        <v>378</v>
      </c>
      <c r="C278" s="35" t="s">
        <v>69</v>
      </c>
      <c r="D278" s="48" t="s">
        <v>74</v>
      </c>
      <c r="E278" s="35" t="s">
        <v>455</v>
      </c>
      <c r="F278" s="48" t="s">
        <v>87</v>
      </c>
      <c r="G278" s="49">
        <v>21101</v>
      </c>
      <c r="H278" s="50" t="s">
        <v>211</v>
      </c>
      <c r="I278" s="51" t="s">
        <v>459</v>
      </c>
      <c r="J278" s="52" t="s">
        <v>460</v>
      </c>
      <c r="K278" s="53" t="s">
        <v>379</v>
      </c>
      <c r="L278" s="54" t="s">
        <v>379</v>
      </c>
      <c r="M278" s="55" t="s">
        <v>56</v>
      </c>
      <c r="N278" s="56">
        <v>2</v>
      </c>
      <c r="O278" s="57">
        <f>28.45*1.16</f>
        <v>33.001999999999995</v>
      </c>
      <c r="P278" s="58" t="s">
        <v>380</v>
      </c>
      <c r="Q278" s="57">
        <f t="shared" si="15"/>
        <v>66.003999999999991</v>
      </c>
      <c r="R278" s="59">
        <v>0</v>
      </c>
      <c r="S278" s="59">
        <v>66.003999999999991</v>
      </c>
      <c r="T278" s="59">
        <v>0</v>
      </c>
      <c r="U278" s="59">
        <v>0</v>
      </c>
      <c r="V278" s="59">
        <v>0</v>
      </c>
      <c r="W278" s="59">
        <v>0</v>
      </c>
      <c r="X278" s="59">
        <v>0</v>
      </c>
      <c r="Y278" s="59">
        <v>0</v>
      </c>
      <c r="Z278" s="59">
        <v>0</v>
      </c>
      <c r="AA278" s="59">
        <v>0</v>
      </c>
      <c r="AB278" s="59">
        <v>0</v>
      </c>
      <c r="AC278" s="59">
        <v>0</v>
      </c>
      <c r="AE278" s="60"/>
      <c r="AF278" s="60"/>
    </row>
    <row r="279" spans="1:38" s="4" customFormat="1" ht="20.399999999999999" x14ac:dyDescent="0.3">
      <c r="A279" s="46" t="s">
        <v>377</v>
      </c>
      <c r="B279" s="47" t="s">
        <v>378</v>
      </c>
      <c r="C279" s="35" t="s">
        <v>69</v>
      </c>
      <c r="D279" s="48" t="s">
        <v>74</v>
      </c>
      <c r="E279" s="35" t="s">
        <v>455</v>
      </c>
      <c r="F279" s="48" t="s">
        <v>87</v>
      </c>
      <c r="G279" s="49">
        <v>21101</v>
      </c>
      <c r="H279" s="50" t="s">
        <v>211</v>
      </c>
      <c r="I279" s="51" t="s">
        <v>461</v>
      </c>
      <c r="J279" s="52" t="s">
        <v>462</v>
      </c>
      <c r="K279" s="53" t="s">
        <v>379</v>
      </c>
      <c r="L279" s="54" t="s">
        <v>379</v>
      </c>
      <c r="M279" s="55" t="s">
        <v>57</v>
      </c>
      <c r="N279" s="56">
        <v>2</v>
      </c>
      <c r="O279" s="57">
        <f>133.62*1.16</f>
        <v>154.9992</v>
      </c>
      <c r="P279" s="58" t="s">
        <v>380</v>
      </c>
      <c r="Q279" s="57">
        <f t="shared" si="15"/>
        <v>309.9984</v>
      </c>
      <c r="R279" s="59">
        <v>0</v>
      </c>
      <c r="S279" s="59">
        <v>309.9984</v>
      </c>
      <c r="T279" s="59">
        <v>0</v>
      </c>
      <c r="U279" s="59">
        <v>0</v>
      </c>
      <c r="V279" s="59">
        <v>0</v>
      </c>
      <c r="W279" s="59">
        <v>0</v>
      </c>
      <c r="X279" s="59">
        <v>0</v>
      </c>
      <c r="Y279" s="59">
        <v>0</v>
      </c>
      <c r="Z279" s="59">
        <v>0</v>
      </c>
      <c r="AA279" s="59">
        <v>0</v>
      </c>
      <c r="AB279" s="59">
        <v>0</v>
      </c>
      <c r="AC279" s="59">
        <v>0</v>
      </c>
      <c r="AE279" s="60"/>
      <c r="AF279" s="60"/>
    </row>
    <row r="280" spans="1:38" s="4" customFormat="1" ht="20.399999999999999" x14ac:dyDescent="0.3">
      <c r="A280" s="46" t="s">
        <v>377</v>
      </c>
      <c r="B280" s="47" t="s">
        <v>378</v>
      </c>
      <c r="C280" s="35" t="s">
        <v>69</v>
      </c>
      <c r="D280" s="48" t="s">
        <v>74</v>
      </c>
      <c r="E280" s="35" t="s">
        <v>455</v>
      </c>
      <c r="F280" s="48" t="s">
        <v>87</v>
      </c>
      <c r="G280" s="49">
        <v>21101</v>
      </c>
      <c r="H280" s="50" t="s">
        <v>211</v>
      </c>
      <c r="I280" s="51" t="s">
        <v>309</v>
      </c>
      <c r="J280" s="52" t="s">
        <v>463</v>
      </c>
      <c r="K280" s="53" t="s">
        <v>379</v>
      </c>
      <c r="L280" s="54" t="s">
        <v>379</v>
      </c>
      <c r="M280" s="55" t="s">
        <v>55</v>
      </c>
      <c r="N280" s="56">
        <v>1</v>
      </c>
      <c r="O280" s="57">
        <f>181.03*1.16</f>
        <v>209.9948</v>
      </c>
      <c r="P280" s="58" t="s">
        <v>380</v>
      </c>
      <c r="Q280" s="57">
        <f t="shared" si="15"/>
        <v>209.9948</v>
      </c>
      <c r="R280" s="59">
        <v>0</v>
      </c>
      <c r="S280" s="59">
        <v>209.9948</v>
      </c>
      <c r="T280" s="59">
        <v>0</v>
      </c>
      <c r="U280" s="59">
        <v>0</v>
      </c>
      <c r="V280" s="59">
        <v>0</v>
      </c>
      <c r="W280" s="59">
        <v>0</v>
      </c>
      <c r="X280" s="59">
        <v>0</v>
      </c>
      <c r="Y280" s="59">
        <v>0</v>
      </c>
      <c r="Z280" s="59">
        <v>0</v>
      </c>
      <c r="AA280" s="59">
        <v>0</v>
      </c>
      <c r="AB280" s="59">
        <v>0</v>
      </c>
      <c r="AC280" s="59">
        <v>0</v>
      </c>
      <c r="AE280" s="60"/>
      <c r="AF280" s="60"/>
    </row>
    <row r="281" spans="1:38" s="4" customFormat="1" ht="20.399999999999999" x14ac:dyDescent="0.3">
      <c r="A281" s="46" t="s">
        <v>377</v>
      </c>
      <c r="B281" s="47" t="s">
        <v>378</v>
      </c>
      <c r="C281" s="35" t="s">
        <v>69</v>
      </c>
      <c r="D281" s="48" t="s">
        <v>74</v>
      </c>
      <c r="E281" s="35" t="s">
        <v>455</v>
      </c>
      <c r="F281" s="48" t="s">
        <v>87</v>
      </c>
      <c r="G281" s="49">
        <v>21101</v>
      </c>
      <c r="H281" s="50" t="s">
        <v>211</v>
      </c>
      <c r="I281" s="51" t="s">
        <v>381</v>
      </c>
      <c r="J281" s="52" t="s">
        <v>382</v>
      </c>
      <c r="K281" s="53" t="s">
        <v>379</v>
      </c>
      <c r="L281" s="54" t="s">
        <v>379</v>
      </c>
      <c r="M281" s="55" t="s">
        <v>383</v>
      </c>
      <c r="N281" s="56">
        <v>360</v>
      </c>
      <c r="O281" s="57">
        <f>5.5*1.16</f>
        <v>6.38</v>
      </c>
      <c r="P281" s="58" t="s">
        <v>380</v>
      </c>
      <c r="Q281" s="57">
        <f t="shared" si="15"/>
        <v>2296.8000000000002</v>
      </c>
      <c r="R281" s="59">
        <v>0</v>
      </c>
      <c r="S281" s="59">
        <v>765.6</v>
      </c>
      <c r="T281" s="59">
        <v>0</v>
      </c>
      <c r="U281" s="59">
        <v>0</v>
      </c>
      <c r="V281" s="59">
        <v>765.6</v>
      </c>
      <c r="W281" s="59">
        <v>0</v>
      </c>
      <c r="X281" s="59">
        <v>0</v>
      </c>
      <c r="Y281" s="59">
        <v>765.6</v>
      </c>
      <c r="Z281" s="59">
        <v>0</v>
      </c>
      <c r="AA281" s="59">
        <v>0</v>
      </c>
      <c r="AB281" s="59">
        <v>0</v>
      </c>
      <c r="AC281" s="59">
        <v>0</v>
      </c>
      <c r="AE281" s="60"/>
      <c r="AF281" s="60"/>
    </row>
    <row r="282" spans="1:38" s="4" customFormat="1" ht="20.399999999999999" x14ac:dyDescent="0.3">
      <c r="A282" s="46" t="s">
        <v>377</v>
      </c>
      <c r="B282" s="47" t="s">
        <v>378</v>
      </c>
      <c r="C282" s="35" t="s">
        <v>69</v>
      </c>
      <c r="D282" s="48" t="s">
        <v>74</v>
      </c>
      <c r="E282" s="35" t="s">
        <v>455</v>
      </c>
      <c r="F282" s="48" t="s">
        <v>87</v>
      </c>
      <c r="G282" s="49">
        <v>21101</v>
      </c>
      <c r="H282" s="50" t="s">
        <v>211</v>
      </c>
      <c r="I282" s="51" t="s">
        <v>274</v>
      </c>
      <c r="J282" s="52" t="s">
        <v>53</v>
      </c>
      <c r="K282" s="53" t="s">
        <v>379</v>
      </c>
      <c r="L282" s="54" t="s">
        <v>379</v>
      </c>
      <c r="M282" s="55" t="s">
        <v>383</v>
      </c>
      <c r="N282" s="56">
        <v>69</v>
      </c>
      <c r="O282" s="57">
        <f>6*1.16</f>
        <v>6.9599999999999991</v>
      </c>
      <c r="P282" s="58" t="s">
        <v>380</v>
      </c>
      <c r="Q282" s="57">
        <f t="shared" si="15"/>
        <v>480.23999999999995</v>
      </c>
      <c r="R282" s="59">
        <v>0</v>
      </c>
      <c r="S282" s="59">
        <v>160.08000000000001</v>
      </c>
      <c r="T282" s="59">
        <v>0</v>
      </c>
      <c r="U282" s="59">
        <v>0</v>
      </c>
      <c r="V282" s="59">
        <v>160.07999999999998</v>
      </c>
      <c r="W282" s="59">
        <v>0</v>
      </c>
      <c r="X282" s="59">
        <v>0</v>
      </c>
      <c r="Y282" s="59">
        <v>160.07999999999998</v>
      </c>
      <c r="Z282" s="59">
        <v>0</v>
      </c>
      <c r="AA282" s="59">
        <v>0</v>
      </c>
      <c r="AB282" s="59">
        <v>0</v>
      </c>
      <c r="AC282" s="59">
        <v>0</v>
      </c>
      <c r="AE282" s="60"/>
      <c r="AF282" s="60"/>
    </row>
    <row r="283" spans="1:38" s="4" customFormat="1" ht="20.399999999999999" x14ac:dyDescent="0.3">
      <c r="A283" s="46" t="s">
        <v>377</v>
      </c>
      <c r="B283" s="47" t="s">
        <v>378</v>
      </c>
      <c r="C283" s="35" t="s">
        <v>69</v>
      </c>
      <c r="D283" s="48" t="s">
        <v>74</v>
      </c>
      <c r="E283" s="35" t="s">
        <v>455</v>
      </c>
      <c r="F283" s="48" t="s">
        <v>87</v>
      </c>
      <c r="G283" s="49">
        <v>21101</v>
      </c>
      <c r="H283" s="50" t="s">
        <v>211</v>
      </c>
      <c r="I283" s="51" t="s">
        <v>335</v>
      </c>
      <c r="J283" s="52" t="s">
        <v>150</v>
      </c>
      <c r="K283" s="53" t="s">
        <v>379</v>
      </c>
      <c r="L283" s="54" t="s">
        <v>379</v>
      </c>
      <c r="M283" s="55" t="s">
        <v>383</v>
      </c>
      <c r="N283" s="56">
        <v>33</v>
      </c>
      <c r="O283" s="57">
        <f>21*1.16</f>
        <v>24.36</v>
      </c>
      <c r="P283" s="58" t="s">
        <v>380</v>
      </c>
      <c r="Q283" s="57">
        <f t="shared" si="15"/>
        <v>803.87999999999988</v>
      </c>
      <c r="R283" s="59">
        <v>0</v>
      </c>
      <c r="S283" s="59">
        <v>267.95999999999998</v>
      </c>
      <c r="T283" s="59">
        <v>0</v>
      </c>
      <c r="U283" s="59">
        <v>0</v>
      </c>
      <c r="V283" s="59">
        <v>267.95999999999998</v>
      </c>
      <c r="W283" s="59">
        <v>0</v>
      </c>
      <c r="X283" s="59">
        <v>0</v>
      </c>
      <c r="Y283" s="59">
        <v>267.95999999999998</v>
      </c>
      <c r="Z283" s="59">
        <v>0</v>
      </c>
      <c r="AA283" s="59">
        <v>0</v>
      </c>
      <c r="AB283" s="59">
        <v>0</v>
      </c>
      <c r="AC283" s="59">
        <v>0</v>
      </c>
      <c r="AE283" s="60"/>
      <c r="AF283" s="60"/>
    </row>
    <row r="284" spans="1:38" s="4" customFormat="1" ht="20.399999999999999" x14ac:dyDescent="0.3">
      <c r="A284" s="46" t="s">
        <v>377</v>
      </c>
      <c r="B284" s="47" t="s">
        <v>378</v>
      </c>
      <c r="C284" s="35" t="s">
        <v>69</v>
      </c>
      <c r="D284" s="48" t="s">
        <v>74</v>
      </c>
      <c r="E284" s="35" t="s">
        <v>455</v>
      </c>
      <c r="F284" s="48" t="s">
        <v>87</v>
      </c>
      <c r="G284" s="49">
        <v>21101</v>
      </c>
      <c r="H284" s="50" t="s">
        <v>211</v>
      </c>
      <c r="I284" s="51" t="s">
        <v>335</v>
      </c>
      <c r="J284" s="52" t="s">
        <v>150</v>
      </c>
      <c r="K284" s="53" t="s">
        <v>379</v>
      </c>
      <c r="L284" s="54" t="s">
        <v>379</v>
      </c>
      <c r="M284" s="55" t="s">
        <v>383</v>
      </c>
      <c r="N284" s="56">
        <v>36</v>
      </c>
      <c r="O284" s="57">
        <f>21*1.16</f>
        <v>24.36</v>
      </c>
      <c r="P284" s="58" t="s">
        <v>380</v>
      </c>
      <c r="Q284" s="57">
        <f t="shared" si="15"/>
        <v>876.96</v>
      </c>
      <c r="R284" s="59">
        <v>0</v>
      </c>
      <c r="S284" s="59">
        <v>292.32</v>
      </c>
      <c r="T284" s="59">
        <v>0</v>
      </c>
      <c r="U284" s="59">
        <v>0</v>
      </c>
      <c r="V284" s="59">
        <v>292.32</v>
      </c>
      <c r="W284" s="59">
        <v>0</v>
      </c>
      <c r="X284" s="59">
        <v>0</v>
      </c>
      <c r="Y284" s="59">
        <v>292.32</v>
      </c>
      <c r="Z284" s="59">
        <v>0</v>
      </c>
      <c r="AA284" s="59">
        <v>0</v>
      </c>
      <c r="AB284" s="59">
        <v>0</v>
      </c>
      <c r="AC284" s="59">
        <v>0</v>
      </c>
      <c r="AE284" s="60"/>
      <c r="AF284" s="60"/>
    </row>
    <row r="285" spans="1:38" s="4" customFormat="1" ht="27.6" x14ac:dyDescent="0.3">
      <c r="A285" s="46" t="s">
        <v>377</v>
      </c>
      <c r="B285" s="47" t="s">
        <v>378</v>
      </c>
      <c r="C285" s="35" t="s">
        <v>69</v>
      </c>
      <c r="D285" s="48" t="s">
        <v>74</v>
      </c>
      <c r="E285" s="35" t="s">
        <v>455</v>
      </c>
      <c r="F285" s="48" t="s">
        <v>87</v>
      </c>
      <c r="G285" s="49">
        <v>21101</v>
      </c>
      <c r="H285" s="50" t="s">
        <v>211</v>
      </c>
      <c r="I285" s="51" t="s">
        <v>392</v>
      </c>
      <c r="J285" s="52" t="s">
        <v>107</v>
      </c>
      <c r="K285" s="53" t="s">
        <v>379</v>
      </c>
      <c r="L285" s="54" t="s">
        <v>379</v>
      </c>
      <c r="M285" s="55" t="s">
        <v>56</v>
      </c>
      <c r="N285" s="56">
        <v>3</v>
      </c>
      <c r="O285" s="57">
        <f>280*1.16</f>
        <v>324.79999999999995</v>
      </c>
      <c r="P285" s="58" t="s">
        <v>380</v>
      </c>
      <c r="Q285" s="57">
        <f t="shared" si="15"/>
        <v>974.39999999999986</v>
      </c>
      <c r="R285" s="59">
        <v>0</v>
      </c>
      <c r="S285" s="59">
        <v>324.79999999999995</v>
      </c>
      <c r="T285" s="59">
        <v>0</v>
      </c>
      <c r="U285" s="59">
        <v>0</v>
      </c>
      <c r="V285" s="59">
        <v>324.79999999999995</v>
      </c>
      <c r="W285" s="59">
        <v>0</v>
      </c>
      <c r="X285" s="59">
        <v>0</v>
      </c>
      <c r="Y285" s="59">
        <v>324.79999999999995</v>
      </c>
      <c r="Z285" s="59">
        <v>0</v>
      </c>
      <c r="AA285" s="59">
        <v>0</v>
      </c>
      <c r="AB285" s="59">
        <v>0</v>
      </c>
      <c r="AC285" s="59">
        <v>0</v>
      </c>
      <c r="AE285" s="60"/>
      <c r="AF285" s="60"/>
    </row>
    <row r="286" spans="1:38" s="4" customFormat="1" ht="20.399999999999999" x14ac:dyDescent="0.3">
      <c r="A286" s="46" t="s">
        <v>377</v>
      </c>
      <c r="B286" s="47" t="s">
        <v>378</v>
      </c>
      <c r="C286" s="35" t="s">
        <v>69</v>
      </c>
      <c r="D286" s="48" t="s">
        <v>74</v>
      </c>
      <c r="E286" s="35" t="s">
        <v>455</v>
      </c>
      <c r="F286" s="48" t="s">
        <v>87</v>
      </c>
      <c r="G286" s="49">
        <v>21101</v>
      </c>
      <c r="H286" s="50" t="s">
        <v>211</v>
      </c>
      <c r="I286" s="51" t="s">
        <v>334</v>
      </c>
      <c r="J286" s="52" t="s">
        <v>44</v>
      </c>
      <c r="K286" s="53" t="s">
        <v>379</v>
      </c>
      <c r="L286" s="54" t="s">
        <v>379</v>
      </c>
      <c r="M286" s="55" t="s">
        <v>383</v>
      </c>
      <c r="N286" s="56">
        <v>6</v>
      </c>
      <c r="O286" s="57">
        <f>164*1.16</f>
        <v>190.23999999999998</v>
      </c>
      <c r="P286" s="58" t="s">
        <v>380</v>
      </c>
      <c r="Q286" s="57">
        <f t="shared" si="15"/>
        <v>1141.4399999999998</v>
      </c>
      <c r="R286" s="59">
        <v>0</v>
      </c>
      <c r="S286" s="59">
        <v>380.47999999999996</v>
      </c>
      <c r="T286" s="59">
        <v>0</v>
      </c>
      <c r="U286" s="59">
        <v>0</v>
      </c>
      <c r="V286" s="59">
        <v>380.47999999999996</v>
      </c>
      <c r="W286" s="59">
        <v>0</v>
      </c>
      <c r="X286" s="59">
        <v>0</v>
      </c>
      <c r="Y286" s="59">
        <v>380.47999999999996</v>
      </c>
      <c r="Z286" s="59">
        <v>0</v>
      </c>
      <c r="AA286" s="59">
        <v>0</v>
      </c>
      <c r="AB286" s="59">
        <v>0</v>
      </c>
      <c r="AC286" s="59">
        <v>0</v>
      </c>
      <c r="AE286" s="60"/>
      <c r="AF286" s="60"/>
    </row>
    <row r="287" spans="1:38" s="4" customFormat="1" ht="20.399999999999999" x14ac:dyDescent="0.3">
      <c r="A287" s="46" t="s">
        <v>377</v>
      </c>
      <c r="B287" s="47" t="s">
        <v>378</v>
      </c>
      <c r="C287" s="35" t="s">
        <v>69</v>
      </c>
      <c r="D287" s="48" t="s">
        <v>74</v>
      </c>
      <c r="E287" s="35" t="s">
        <v>455</v>
      </c>
      <c r="F287" s="48" t="s">
        <v>87</v>
      </c>
      <c r="G287" s="49">
        <v>21101</v>
      </c>
      <c r="H287" s="50" t="s">
        <v>211</v>
      </c>
      <c r="I287" s="51" t="s">
        <v>397</v>
      </c>
      <c r="J287" s="52" t="s">
        <v>398</v>
      </c>
      <c r="K287" s="53" t="s">
        <v>379</v>
      </c>
      <c r="L287" s="54" t="s">
        <v>379</v>
      </c>
      <c r="M287" s="55" t="s">
        <v>383</v>
      </c>
      <c r="N287" s="56">
        <v>120</v>
      </c>
      <c r="O287" s="57">
        <f>17*1.16</f>
        <v>19.72</v>
      </c>
      <c r="P287" s="58" t="s">
        <v>380</v>
      </c>
      <c r="Q287" s="57">
        <f t="shared" si="15"/>
        <v>2366.3999999999996</v>
      </c>
      <c r="R287" s="59">
        <v>0</v>
      </c>
      <c r="S287" s="59">
        <v>788.8</v>
      </c>
      <c r="T287" s="59">
        <v>0</v>
      </c>
      <c r="U287" s="59">
        <v>0</v>
      </c>
      <c r="V287" s="59">
        <v>788.8</v>
      </c>
      <c r="W287" s="59">
        <v>0</v>
      </c>
      <c r="X287" s="59">
        <v>0</v>
      </c>
      <c r="Y287" s="59">
        <v>788.8</v>
      </c>
      <c r="Z287" s="59">
        <v>0</v>
      </c>
      <c r="AA287" s="59">
        <v>0</v>
      </c>
      <c r="AB287" s="59">
        <v>0</v>
      </c>
      <c r="AC287" s="59">
        <v>0</v>
      </c>
      <c r="AE287" s="60"/>
      <c r="AF287" s="60"/>
    </row>
    <row r="288" spans="1:38" s="4" customFormat="1" ht="20.399999999999999" x14ac:dyDescent="0.3">
      <c r="A288" s="46" t="s">
        <v>377</v>
      </c>
      <c r="B288" s="47" t="s">
        <v>378</v>
      </c>
      <c r="C288" s="35" t="s">
        <v>69</v>
      </c>
      <c r="D288" s="48" t="s">
        <v>74</v>
      </c>
      <c r="E288" s="35" t="s">
        <v>455</v>
      </c>
      <c r="F288" s="48" t="s">
        <v>87</v>
      </c>
      <c r="G288" s="49">
        <v>21101</v>
      </c>
      <c r="H288" s="50" t="s">
        <v>211</v>
      </c>
      <c r="I288" s="51" t="s">
        <v>390</v>
      </c>
      <c r="J288" s="52" t="s">
        <v>391</v>
      </c>
      <c r="K288" s="53" t="s">
        <v>379</v>
      </c>
      <c r="L288" s="54" t="s">
        <v>379</v>
      </c>
      <c r="M288" s="55" t="s">
        <v>383</v>
      </c>
      <c r="N288" s="56">
        <v>6</v>
      </c>
      <c r="O288" s="57">
        <f>11.47*1.16</f>
        <v>13.305199999999999</v>
      </c>
      <c r="P288" s="58" t="s">
        <v>380</v>
      </c>
      <c r="Q288" s="57">
        <f t="shared" si="15"/>
        <v>79.831199999999995</v>
      </c>
      <c r="R288" s="59">
        <v>0</v>
      </c>
      <c r="S288" s="59">
        <v>26.610399999999998</v>
      </c>
      <c r="T288" s="59">
        <v>0</v>
      </c>
      <c r="U288" s="59">
        <v>0</v>
      </c>
      <c r="V288" s="59">
        <v>26.610399999999998</v>
      </c>
      <c r="W288" s="59">
        <v>0</v>
      </c>
      <c r="X288" s="59">
        <v>0</v>
      </c>
      <c r="Y288" s="59">
        <v>26.610399999999998</v>
      </c>
      <c r="Z288" s="59">
        <v>0</v>
      </c>
      <c r="AA288" s="59">
        <v>0</v>
      </c>
      <c r="AB288" s="59">
        <v>0</v>
      </c>
      <c r="AC288" s="59">
        <v>0</v>
      </c>
      <c r="AE288" s="60"/>
      <c r="AF288" s="60"/>
    </row>
    <row r="289" spans="1:32" s="4" customFormat="1" ht="20.399999999999999" x14ac:dyDescent="0.3">
      <c r="A289" s="46" t="s">
        <v>377</v>
      </c>
      <c r="B289" s="47" t="s">
        <v>378</v>
      </c>
      <c r="C289" s="35" t="s">
        <v>69</v>
      </c>
      <c r="D289" s="48" t="s">
        <v>74</v>
      </c>
      <c r="E289" s="35" t="s">
        <v>455</v>
      </c>
      <c r="F289" s="48" t="s">
        <v>87</v>
      </c>
      <c r="G289" s="49">
        <v>21101</v>
      </c>
      <c r="H289" s="50" t="s">
        <v>211</v>
      </c>
      <c r="I289" s="51" t="s">
        <v>251</v>
      </c>
      <c r="J289" s="52" t="s">
        <v>39</v>
      </c>
      <c r="K289" s="53" t="s">
        <v>379</v>
      </c>
      <c r="L289" s="54" t="s">
        <v>379</v>
      </c>
      <c r="M289" s="55" t="s">
        <v>55</v>
      </c>
      <c r="N289" s="56">
        <v>21</v>
      </c>
      <c r="O289" s="57">
        <f>126*1.16</f>
        <v>146.16</v>
      </c>
      <c r="P289" s="58" t="s">
        <v>380</v>
      </c>
      <c r="Q289" s="57">
        <f t="shared" si="15"/>
        <v>3069.36</v>
      </c>
      <c r="R289" s="59">
        <v>0</v>
      </c>
      <c r="S289" s="59">
        <v>1023.12</v>
      </c>
      <c r="T289" s="59">
        <v>0</v>
      </c>
      <c r="U289" s="59">
        <v>0</v>
      </c>
      <c r="V289" s="59">
        <v>1023.12</v>
      </c>
      <c r="W289" s="59">
        <v>0</v>
      </c>
      <c r="X289" s="59">
        <v>0</v>
      </c>
      <c r="Y289" s="59">
        <v>1023.12</v>
      </c>
      <c r="Z289" s="59">
        <v>0</v>
      </c>
      <c r="AA289" s="59">
        <v>0</v>
      </c>
      <c r="AB289" s="59">
        <v>0</v>
      </c>
      <c r="AC289" s="59">
        <v>0</v>
      </c>
      <c r="AE289" s="60"/>
      <c r="AF289" s="60"/>
    </row>
    <row r="290" spans="1:32" s="4" customFormat="1" ht="20.399999999999999" x14ac:dyDescent="0.3">
      <c r="A290" s="46" t="s">
        <v>377</v>
      </c>
      <c r="B290" s="47" t="s">
        <v>378</v>
      </c>
      <c r="C290" s="35" t="s">
        <v>69</v>
      </c>
      <c r="D290" s="48" t="s">
        <v>74</v>
      </c>
      <c r="E290" s="35" t="s">
        <v>455</v>
      </c>
      <c r="F290" s="48" t="s">
        <v>87</v>
      </c>
      <c r="G290" s="49">
        <v>21101</v>
      </c>
      <c r="H290" s="50" t="s">
        <v>211</v>
      </c>
      <c r="I290" s="51" t="s">
        <v>255</v>
      </c>
      <c r="J290" s="52" t="s">
        <v>40</v>
      </c>
      <c r="K290" s="53" t="s">
        <v>379</v>
      </c>
      <c r="L290" s="54" t="s">
        <v>379</v>
      </c>
      <c r="M290" s="55" t="s">
        <v>55</v>
      </c>
      <c r="N290" s="56">
        <v>18</v>
      </c>
      <c r="O290" s="57">
        <f>119*1.16</f>
        <v>138.04</v>
      </c>
      <c r="P290" s="58" t="s">
        <v>380</v>
      </c>
      <c r="Q290" s="57">
        <f t="shared" si="15"/>
        <v>2484.7200000000003</v>
      </c>
      <c r="R290" s="59">
        <v>0</v>
      </c>
      <c r="S290" s="59">
        <v>828.24</v>
      </c>
      <c r="T290" s="59">
        <v>0</v>
      </c>
      <c r="U290" s="59">
        <v>0</v>
      </c>
      <c r="V290" s="59">
        <v>828.24</v>
      </c>
      <c r="W290" s="59">
        <v>0</v>
      </c>
      <c r="X290" s="59">
        <v>0</v>
      </c>
      <c r="Y290" s="59">
        <v>828.24</v>
      </c>
      <c r="Z290" s="59">
        <v>0</v>
      </c>
      <c r="AA290" s="59">
        <v>0</v>
      </c>
      <c r="AB290" s="59">
        <v>0</v>
      </c>
      <c r="AC290" s="59">
        <v>0</v>
      </c>
      <c r="AE290" s="60"/>
      <c r="AF290" s="60"/>
    </row>
    <row r="291" spans="1:32" s="4" customFormat="1" ht="20.399999999999999" x14ac:dyDescent="0.3">
      <c r="A291" s="46" t="s">
        <v>377</v>
      </c>
      <c r="B291" s="47" t="s">
        <v>378</v>
      </c>
      <c r="C291" s="35" t="s">
        <v>69</v>
      </c>
      <c r="D291" s="48" t="s">
        <v>74</v>
      </c>
      <c r="E291" s="35" t="s">
        <v>455</v>
      </c>
      <c r="F291" s="48" t="s">
        <v>87</v>
      </c>
      <c r="G291" s="49">
        <v>21101</v>
      </c>
      <c r="H291" s="50" t="s">
        <v>211</v>
      </c>
      <c r="I291" s="51" t="s">
        <v>464</v>
      </c>
      <c r="J291" s="52" t="s">
        <v>465</v>
      </c>
      <c r="K291" s="53" t="s">
        <v>379</v>
      </c>
      <c r="L291" s="54" t="s">
        <v>379</v>
      </c>
      <c r="M291" s="55" t="s">
        <v>55</v>
      </c>
      <c r="N291" s="56">
        <v>73</v>
      </c>
      <c r="O291" s="57">
        <f>25*1.16</f>
        <v>28.999999999999996</v>
      </c>
      <c r="P291" s="58" t="s">
        <v>380</v>
      </c>
      <c r="Q291" s="57">
        <f t="shared" si="15"/>
        <v>2116.9999999999995</v>
      </c>
      <c r="R291" s="59">
        <v>0</v>
      </c>
      <c r="S291" s="59">
        <v>724.99999999999989</v>
      </c>
      <c r="T291" s="59">
        <v>0</v>
      </c>
      <c r="U291" s="59">
        <v>0</v>
      </c>
      <c r="V291" s="59">
        <v>695.99999999999989</v>
      </c>
      <c r="W291" s="59">
        <v>0</v>
      </c>
      <c r="X291" s="59">
        <v>0</v>
      </c>
      <c r="Y291" s="59">
        <v>695.99999999999989</v>
      </c>
      <c r="Z291" s="59">
        <v>0</v>
      </c>
      <c r="AA291" s="59">
        <v>0</v>
      </c>
      <c r="AB291" s="59">
        <v>0</v>
      </c>
      <c r="AC291" s="59">
        <v>0</v>
      </c>
      <c r="AE291" s="60"/>
      <c r="AF291" s="60"/>
    </row>
    <row r="292" spans="1:32" s="4" customFormat="1" ht="20.399999999999999" x14ac:dyDescent="0.3">
      <c r="A292" s="46" t="s">
        <v>377</v>
      </c>
      <c r="B292" s="47" t="s">
        <v>378</v>
      </c>
      <c r="C292" s="35" t="s">
        <v>69</v>
      </c>
      <c r="D292" s="48" t="s">
        <v>74</v>
      </c>
      <c r="E292" s="35" t="s">
        <v>455</v>
      </c>
      <c r="F292" s="48" t="s">
        <v>87</v>
      </c>
      <c r="G292" s="49">
        <v>21101</v>
      </c>
      <c r="H292" s="50" t="s">
        <v>211</v>
      </c>
      <c r="I292" s="51" t="s">
        <v>464</v>
      </c>
      <c r="J292" s="52" t="s">
        <v>465</v>
      </c>
      <c r="K292" s="53" t="s">
        <v>379</v>
      </c>
      <c r="L292" s="54" t="s">
        <v>379</v>
      </c>
      <c r="M292" s="55" t="s">
        <v>55</v>
      </c>
      <c r="N292" s="56">
        <v>1</v>
      </c>
      <c r="O292" s="57">
        <v>28.99</v>
      </c>
      <c r="P292" s="58" t="s">
        <v>380</v>
      </c>
      <c r="Q292" s="57">
        <f t="shared" si="15"/>
        <v>28.99</v>
      </c>
      <c r="R292" s="59">
        <v>0</v>
      </c>
      <c r="S292" s="59">
        <v>0</v>
      </c>
      <c r="T292" s="59">
        <v>0</v>
      </c>
      <c r="U292" s="59">
        <v>0</v>
      </c>
      <c r="V292" s="59">
        <v>28.99</v>
      </c>
      <c r="W292" s="59">
        <v>0</v>
      </c>
      <c r="X292" s="59">
        <v>0</v>
      </c>
      <c r="Y292" s="59">
        <v>0</v>
      </c>
      <c r="Z292" s="59">
        <v>0</v>
      </c>
      <c r="AA292" s="59">
        <v>0</v>
      </c>
      <c r="AB292" s="59">
        <v>0</v>
      </c>
      <c r="AC292" s="59">
        <v>0</v>
      </c>
      <c r="AE292" s="60"/>
      <c r="AF292" s="60"/>
    </row>
    <row r="293" spans="1:32" s="4" customFormat="1" ht="20.399999999999999" x14ac:dyDescent="0.3">
      <c r="A293" s="46" t="s">
        <v>377</v>
      </c>
      <c r="B293" s="47" t="s">
        <v>378</v>
      </c>
      <c r="C293" s="35" t="s">
        <v>69</v>
      </c>
      <c r="D293" s="48" t="s">
        <v>74</v>
      </c>
      <c r="E293" s="35" t="s">
        <v>455</v>
      </c>
      <c r="F293" s="48" t="s">
        <v>87</v>
      </c>
      <c r="G293" s="49">
        <v>21101</v>
      </c>
      <c r="H293" s="50" t="s">
        <v>211</v>
      </c>
      <c r="I293" s="51" t="s">
        <v>464</v>
      </c>
      <c r="J293" s="52" t="s">
        <v>465</v>
      </c>
      <c r="K293" s="53" t="s">
        <v>379</v>
      </c>
      <c r="L293" s="54" t="s">
        <v>379</v>
      </c>
      <c r="M293" s="55" t="s">
        <v>55</v>
      </c>
      <c r="N293" s="56">
        <v>1</v>
      </c>
      <c r="O293" s="57">
        <v>27.99</v>
      </c>
      <c r="P293" s="58" t="s">
        <v>380</v>
      </c>
      <c r="Q293" s="57">
        <f t="shared" si="15"/>
        <v>27.99</v>
      </c>
      <c r="R293" s="59">
        <v>0</v>
      </c>
      <c r="S293" s="59">
        <v>0</v>
      </c>
      <c r="T293" s="59">
        <v>0</v>
      </c>
      <c r="U293" s="59">
        <v>0</v>
      </c>
      <c r="V293" s="59">
        <v>0</v>
      </c>
      <c r="W293" s="59">
        <v>0</v>
      </c>
      <c r="X293" s="59">
        <v>0</v>
      </c>
      <c r="Y293" s="59">
        <v>27.99</v>
      </c>
      <c r="Z293" s="59">
        <v>0</v>
      </c>
      <c r="AA293" s="59">
        <v>0</v>
      </c>
      <c r="AB293" s="59">
        <v>0</v>
      </c>
      <c r="AC293" s="59">
        <v>0</v>
      </c>
      <c r="AE293" s="60"/>
      <c r="AF293" s="60"/>
    </row>
    <row r="294" spans="1:32" s="4" customFormat="1" ht="22.5" customHeight="1" x14ac:dyDescent="0.3">
      <c r="A294" s="46" t="s">
        <v>377</v>
      </c>
      <c r="B294" s="47" t="s">
        <v>378</v>
      </c>
      <c r="C294" s="35" t="s">
        <v>69</v>
      </c>
      <c r="D294" s="48" t="s">
        <v>74</v>
      </c>
      <c r="E294" s="35" t="s">
        <v>455</v>
      </c>
      <c r="F294" s="48" t="s">
        <v>87</v>
      </c>
      <c r="G294" s="49">
        <v>21401</v>
      </c>
      <c r="H294" s="50" t="s">
        <v>213</v>
      </c>
      <c r="I294" s="51" t="s">
        <v>344</v>
      </c>
      <c r="J294" s="52" t="s">
        <v>159</v>
      </c>
      <c r="K294" s="53" t="s">
        <v>379</v>
      </c>
      <c r="L294" s="54" t="s">
        <v>379</v>
      </c>
      <c r="M294" s="55" t="s">
        <v>383</v>
      </c>
      <c r="N294" s="56">
        <v>5</v>
      </c>
      <c r="O294" s="57">
        <v>60</v>
      </c>
      <c r="P294" s="58" t="s">
        <v>380</v>
      </c>
      <c r="Q294" s="57">
        <f t="shared" si="15"/>
        <v>300</v>
      </c>
      <c r="R294" s="59">
        <v>0</v>
      </c>
      <c r="S294" s="59">
        <v>300</v>
      </c>
      <c r="T294" s="59">
        <v>0</v>
      </c>
      <c r="U294" s="59">
        <v>0</v>
      </c>
      <c r="V294" s="59">
        <v>0</v>
      </c>
      <c r="W294" s="59">
        <v>0</v>
      </c>
      <c r="X294" s="59">
        <v>0</v>
      </c>
      <c r="Y294" s="59">
        <v>0</v>
      </c>
      <c r="Z294" s="59">
        <v>0</v>
      </c>
      <c r="AA294" s="59">
        <v>0</v>
      </c>
      <c r="AB294" s="59">
        <v>0</v>
      </c>
      <c r="AC294" s="59">
        <v>0</v>
      </c>
      <c r="AE294" s="60"/>
      <c r="AF294" s="60"/>
    </row>
    <row r="295" spans="1:32" s="4" customFormat="1" x14ac:dyDescent="0.3">
      <c r="A295" s="46" t="s">
        <v>377</v>
      </c>
      <c r="B295" s="47" t="s">
        <v>378</v>
      </c>
      <c r="C295" s="35" t="s">
        <v>69</v>
      </c>
      <c r="D295" s="48" t="s">
        <v>74</v>
      </c>
      <c r="E295" s="35" t="s">
        <v>455</v>
      </c>
      <c r="F295" s="48" t="s">
        <v>87</v>
      </c>
      <c r="G295" s="49">
        <v>21601</v>
      </c>
      <c r="H295" s="50" t="s">
        <v>212</v>
      </c>
      <c r="I295" s="51" t="s">
        <v>336</v>
      </c>
      <c r="J295" s="52" t="s">
        <v>151</v>
      </c>
      <c r="K295" s="53" t="s">
        <v>379</v>
      </c>
      <c r="L295" s="54" t="s">
        <v>379</v>
      </c>
      <c r="M295" s="55" t="s">
        <v>399</v>
      </c>
      <c r="N295" s="56">
        <v>46</v>
      </c>
      <c r="O295" s="57">
        <f>32*1.16</f>
        <v>37.119999999999997</v>
      </c>
      <c r="P295" s="58" t="s">
        <v>380</v>
      </c>
      <c r="Q295" s="57">
        <f t="shared" si="15"/>
        <v>1707.52</v>
      </c>
      <c r="R295" s="59">
        <v>0</v>
      </c>
      <c r="S295" s="59">
        <v>853.76</v>
      </c>
      <c r="T295" s="59">
        <v>0</v>
      </c>
      <c r="U295" s="59">
        <v>0</v>
      </c>
      <c r="V295" s="59">
        <v>0</v>
      </c>
      <c r="W295" s="59">
        <v>0</v>
      </c>
      <c r="X295" s="59">
        <v>853.76</v>
      </c>
      <c r="Y295" s="59">
        <v>0</v>
      </c>
      <c r="Z295" s="59">
        <v>0</v>
      </c>
      <c r="AA295" s="59">
        <v>0</v>
      </c>
      <c r="AB295" s="59">
        <v>0</v>
      </c>
      <c r="AC295" s="59">
        <v>0</v>
      </c>
      <c r="AE295" s="60"/>
      <c r="AF295" s="60"/>
    </row>
    <row r="296" spans="1:32" s="4" customFormat="1" x14ac:dyDescent="0.3">
      <c r="A296" s="46" t="s">
        <v>377</v>
      </c>
      <c r="B296" s="47" t="s">
        <v>378</v>
      </c>
      <c r="C296" s="35" t="s">
        <v>69</v>
      </c>
      <c r="D296" s="48" t="s">
        <v>74</v>
      </c>
      <c r="E296" s="35" t="s">
        <v>455</v>
      </c>
      <c r="F296" s="48" t="s">
        <v>87</v>
      </c>
      <c r="G296" s="49">
        <v>21601</v>
      </c>
      <c r="H296" s="50" t="s">
        <v>212</v>
      </c>
      <c r="I296" s="51" t="s">
        <v>336</v>
      </c>
      <c r="J296" s="52" t="s">
        <v>151</v>
      </c>
      <c r="K296" s="53" t="s">
        <v>379</v>
      </c>
      <c r="L296" s="54" t="s">
        <v>379</v>
      </c>
      <c r="M296" s="55" t="s">
        <v>399</v>
      </c>
      <c r="N296" s="56">
        <v>16</v>
      </c>
      <c r="O296" s="57">
        <f>289.3*1.16</f>
        <v>335.58799999999997</v>
      </c>
      <c r="P296" s="58" t="s">
        <v>380</v>
      </c>
      <c r="Q296" s="57">
        <f t="shared" si="15"/>
        <v>5369.4079999999994</v>
      </c>
      <c r="R296" s="59">
        <v>0</v>
      </c>
      <c r="S296" s="59">
        <v>2684.7039999999997</v>
      </c>
      <c r="T296" s="59">
        <v>0</v>
      </c>
      <c r="U296" s="59">
        <v>0</v>
      </c>
      <c r="V296" s="59">
        <v>0</v>
      </c>
      <c r="W296" s="59">
        <v>0</v>
      </c>
      <c r="X296" s="59">
        <v>2684.7039999999997</v>
      </c>
      <c r="Y296" s="59">
        <v>0</v>
      </c>
      <c r="Z296" s="59">
        <v>0</v>
      </c>
      <c r="AA296" s="59">
        <v>0</v>
      </c>
      <c r="AB296" s="59">
        <v>0</v>
      </c>
      <c r="AC296" s="59">
        <v>0</v>
      </c>
      <c r="AE296" s="60"/>
      <c r="AF296" s="60"/>
    </row>
    <row r="297" spans="1:32" s="4" customFormat="1" x14ac:dyDescent="0.3">
      <c r="A297" s="46" t="s">
        <v>377</v>
      </c>
      <c r="B297" s="47" t="s">
        <v>378</v>
      </c>
      <c r="C297" s="35" t="s">
        <v>69</v>
      </c>
      <c r="D297" s="48" t="s">
        <v>74</v>
      </c>
      <c r="E297" s="35" t="s">
        <v>455</v>
      </c>
      <c r="F297" s="48" t="s">
        <v>87</v>
      </c>
      <c r="G297" s="49">
        <v>21601</v>
      </c>
      <c r="H297" s="50" t="s">
        <v>212</v>
      </c>
      <c r="I297" s="51" t="s">
        <v>336</v>
      </c>
      <c r="J297" s="52" t="s">
        <v>151</v>
      </c>
      <c r="K297" s="53" t="s">
        <v>379</v>
      </c>
      <c r="L297" s="54" t="s">
        <v>379</v>
      </c>
      <c r="M297" s="55" t="s">
        <v>399</v>
      </c>
      <c r="N297" s="56">
        <v>4</v>
      </c>
      <c r="O297" s="57">
        <f>21.35*1.16</f>
        <v>24.765999999999998</v>
      </c>
      <c r="P297" s="58" t="s">
        <v>380</v>
      </c>
      <c r="Q297" s="57">
        <f t="shared" si="15"/>
        <v>99.063999999999993</v>
      </c>
      <c r="R297" s="59">
        <v>0</v>
      </c>
      <c r="S297" s="59">
        <v>49.531999999999996</v>
      </c>
      <c r="T297" s="59">
        <v>0</v>
      </c>
      <c r="U297" s="59">
        <v>0</v>
      </c>
      <c r="V297" s="59">
        <v>0</v>
      </c>
      <c r="W297" s="59">
        <v>0</v>
      </c>
      <c r="X297" s="59">
        <v>49.531999999999996</v>
      </c>
      <c r="Y297" s="59">
        <v>0</v>
      </c>
      <c r="Z297" s="59">
        <v>0</v>
      </c>
      <c r="AA297" s="59">
        <v>0</v>
      </c>
      <c r="AB297" s="59">
        <v>0</v>
      </c>
      <c r="AC297" s="59">
        <v>0</v>
      </c>
      <c r="AE297" s="60"/>
      <c r="AF297" s="60"/>
    </row>
    <row r="298" spans="1:32" s="4" customFormat="1" ht="20.399999999999999" x14ac:dyDescent="0.3">
      <c r="A298" s="46" t="s">
        <v>377</v>
      </c>
      <c r="B298" s="47" t="s">
        <v>378</v>
      </c>
      <c r="C298" s="35" t="s">
        <v>69</v>
      </c>
      <c r="D298" s="48" t="s">
        <v>74</v>
      </c>
      <c r="E298" s="35" t="s">
        <v>455</v>
      </c>
      <c r="F298" s="48" t="s">
        <v>87</v>
      </c>
      <c r="G298" s="49">
        <v>24601</v>
      </c>
      <c r="H298" s="50" t="s">
        <v>217</v>
      </c>
      <c r="I298" s="51" t="s">
        <v>466</v>
      </c>
      <c r="J298" s="52" t="s">
        <v>467</v>
      </c>
      <c r="K298" s="53" t="s">
        <v>379</v>
      </c>
      <c r="L298" s="54" t="s">
        <v>379</v>
      </c>
      <c r="M298" s="55" t="s">
        <v>383</v>
      </c>
      <c r="N298" s="56">
        <v>5</v>
      </c>
      <c r="O298" s="57">
        <v>90</v>
      </c>
      <c r="P298" s="58" t="s">
        <v>380</v>
      </c>
      <c r="Q298" s="57">
        <f t="shared" si="15"/>
        <v>450</v>
      </c>
      <c r="R298" s="59">
        <v>0</v>
      </c>
      <c r="S298" s="59">
        <v>450</v>
      </c>
      <c r="T298" s="59">
        <v>0</v>
      </c>
      <c r="U298" s="59">
        <v>0</v>
      </c>
      <c r="V298" s="59">
        <v>0</v>
      </c>
      <c r="W298" s="59">
        <v>0</v>
      </c>
      <c r="X298" s="59">
        <v>0</v>
      </c>
      <c r="Y298" s="59">
        <v>0</v>
      </c>
      <c r="Z298" s="59">
        <v>0</v>
      </c>
      <c r="AA298" s="59">
        <v>0</v>
      </c>
      <c r="AB298" s="59">
        <v>0</v>
      </c>
      <c r="AC298" s="59">
        <v>0</v>
      </c>
      <c r="AE298" s="60"/>
      <c r="AF298" s="60"/>
    </row>
    <row r="299" spans="1:32" s="4" customFormat="1" ht="20.399999999999999" x14ac:dyDescent="0.3">
      <c r="A299" s="46" t="s">
        <v>377</v>
      </c>
      <c r="B299" s="47" t="s">
        <v>378</v>
      </c>
      <c r="C299" s="35" t="s">
        <v>69</v>
      </c>
      <c r="D299" s="48" t="s">
        <v>74</v>
      </c>
      <c r="E299" s="35" t="s">
        <v>455</v>
      </c>
      <c r="F299" s="48" t="s">
        <v>87</v>
      </c>
      <c r="G299" s="49">
        <v>24601</v>
      </c>
      <c r="H299" s="50" t="s">
        <v>217</v>
      </c>
      <c r="I299" s="51" t="s">
        <v>468</v>
      </c>
      <c r="J299" s="52" t="s">
        <v>469</v>
      </c>
      <c r="K299" s="53" t="s">
        <v>379</v>
      </c>
      <c r="L299" s="54" t="s">
        <v>379</v>
      </c>
      <c r="M299" s="55" t="s">
        <v>383</v>
      </c>
      <c r="N299" s="56">
        <v>1</v>
      </c>
      <c r="O299" s="57">
        <v>630</v>
      </c>
      <c r="P299" s="58" t="s">
        <v>380</v>
      </c>
      <c r="Q299" s="57">
        <f t="shared" si="15"/>
        <v>630</v>
      </c>
      <c r="R299" s="59">
        <v>0</v>
      </c>
      <c r="S299" s="59">
        <v>630</v>
      </c>
      <c r="T299" s="59">
        <v>0</v>
      </c>
      <c r="U299" s="59">
        <v>0</v>
      </c>
      <c r="V299" s="59">
        <v>0</v>
      </c>
      <c r="W299" s="59">
        <v>0</v>
      </c>
      <c r="X299" s="59">
        <v>0</v>
      </c>
      <c r="Y299" s="59">
        <v>0</v>
      </c>
      <c r="Z299" s="59">
        <v>0</v>
      </c>
      <c r="AA299" s="59">
        <v>0</v>
      </c>
      <c r="AB299" s="59">
        <v>0</v>
      </c>
      <c r="AC299" s="59">
        <v>0</v>
      </c>
      <c r="AE299" s="60"/>
      <c r="AF299" s="60"/>
    </row>
    <row r="300" spans="1:32" s="4" customFormat="1" ht="20.399999999999999" x14ac:dyDescent="0.3">
      <c r="A300" s="46" t="s">
        <v>377</v>
      </c>
      <c r="B300" s="47" t="s">
        <v>378</v>
      </c>
      <c r="C300" s="35" t="s">
        <v>69</v>
      </c>
      <c r="D300" s="48" t="s">
        <v>74</v>
      </c>
      <c r="E300" s="35" t="s">
        <v>455</v>
      </c>
      <c r="F300" s="48" t="s">
        <v>87</v>
      </c>
      <c r="G300" s="49">
        <v>24601</v>
      </c>
      <c r="H300" s="50" t="s">
        <v>217</v>
      </c>
      <c r="I300" s="51" t="s">
        <v>470</v>
      </c>
      <c r="J300" s="52" t="s">
        <v>471</v>
      </c>
      <c r="K300" s="53" t="s">
        <v>379</v>
      </c>
      <c r="L300" s="54" t="s">
        <v>379</v>
      </c>
      <c r="M300" s="55" t="s">
        <v>383</v>
      </c>
      <c r="N300" s="56">
        <v>2</v>
      </c>
      <c r="O300" s="57">
        <v>310</v>
      </c>
      <c r="P300" s="58" t="s">
        <v>380</v>
      </c>
      <c r="Q300" s="57">
        <f t="shared" si="15"/>
        <v>620</v>
      </c>
      <c r="R300" s="59">
        <v>0</v>
      </c>
      <c r="S300" s="59">
        <v>620</v>
      </c>
      <c r="T300" s="59">
        <v>0</v>
      </c>
      <c r="U300" s="59">
        <v>0</v>
      </c>
      <c r="V300" s="59">
        <v>0</v>
      </c>
      <c r="W300" s="59">
        <v>0</v>
      </c>
      <c r="X300" s="59">
        <v>0</v>
      </c>
      <c r="Y300" s="59">
        <v>0</v>
      </c>
      <c r="Z300" s="59">
        <v>0</v>
      </c>
      <c r="AA300" s="59">
        <v>0</v>
      </c>
      <c r="AB300" s="59">
        <v>0</v>
      </c>
      <c r="AC300" s="59">
        <v>0</v>
      </c>
      <c r="AE300" s="60"/>
      <c r="AF300" s="60"/>
    </row>
    <row r="301" spans="1:32" s="4" customFormat="1" ht="51" customHeight="1" x14ac:dyDescent="0.3">
      <c r="A301" s="46" t="s">
        <v>377</v>
      </c>
      <c r="B301" s="47" t="s">
        <v>378</v>
      </c>
      <c r="C301" s="35" t="s">
        <v>69</v>
      </c>
      <c r="D301" s="48" t="s">
        <v>74</v>
      </c>
      <c r="E301" s="35" t="s">
        <v>455</v>
      </c>
      <c r="F301" s="48" t="s">
        <v>87</v>
      </c>
      <c r="G301" s="49">
        <v>26102</v>
      </c>
      <c r="H301" s="50" t="s">
        <v>419</v>
      </c>
      <c r="I301" s="51" t="s">
        <v>420</v>
      </c>
      <c r="J301" s="52" t="s">
        <v>421</v>
      </c>
      <c r="K301" s="53" t="s">
        <v>379</v>
      </c>
      <c r="L301" s="54" t="s">
        <v>379</v>
      </c>
      <c r="M301" s="55" t="s">
        <v>383</v>
      </c>
      <c r="N301" s="56">
        <v>60</v>
      </c>
      <c r="O301" s="57">
        <v>100</v>
      </c>
      <c r="P301" s="58" t="s">
        <v>380</v>
      </c>
      <c r="Q301" s="57">
        <f t="shared" si="15"/>
        <v>6000</v>
      </c>
      <c r="R301" s="59">
        <v>500</v>
      </c>
      <c r="S301" s="59">
        <v>500</v>
      </c>
      <c r="T301" s="59">
        <v>500</v>
      </c>
      <c r="U301" s="59">
        <v>500</v>
      </c>
      <c r="V301" s="59">
        <v>500</v>
      </c>
      <c r="W301" s="59">
        <v>500</v>
      </c>
      <c r="X301" s="59">
        <v>500</v>
      </c>
      <c r="Y301" s="59">
        <v>500</v>
      </c>
      <c r="Z301" s="59">
        <v>500</v>
      </c>
      <c r="AA301" s="59">
        <v>500</v>
      </c>
      <c r="AB301" s="59">
        <v>500</v>
      </c>
      <c r="AC301" s="59">
        <v>500</v>
      </c>
      <c r="AE301" s="60"/>
      <c r="AF301" s="60"/>
    </row>
    <row r="302" spans="1:32" s="4" customFormat="1" ht="112.2" x14ac:dyDescent="0.3">
      <c r="A302" s="46" t="s">
        <v>377</v>
      </c>
      <c r="B302" s="47" t="s">
        <v>378</v>
      </c>
      <c r="C302" s="35" t="s">
        <v>69</v>
      </c>
      <c r="D302" s="48" t="s">
        <v>74</v>
      </c>
      <c r="E302" s="35" t="s">
        <v>455</v>
      </c>
      <c r="F302" s="48" t="s">
        <v>87</v>
      </c>
      <c r="G302" s="49">
        <v>26102</v>
      </c>
      <c r="H302" s="50" t="s">
        <v>419</v>
      </c>
      <c r="I302" s="51" t="s">
        <v>472</v>
      </c>
      <c r="J302" s="52" t="s">
        <v>421</v>
      </c>
      <c r="K302" s="53" t="s">
        <v>379</v>
      </c>
      <c r="L302" s="54" t="s">
        <v>379</v>
      </c>
      <c r="M302" s="55" t="s">
        <v>383</v>
      </c>
      <c r="N302" s="56">
        <v>12</v>
      </c>
      <c r="O302" s="57">
        <v>50</v>
      </c>
      <c r="P302" s="58" t="s">
        <v>380</v>
      </c>
      <c r="Q302" s="57">
        <f t="shared" si="15"/>
        <v>600</v>
      </c>
      <c r="R302" s="59">
        <v>50</v>
      </c>
      <c r="S302" s="59">
        <v>50</v>
      </c>
      <c r="T302" s="59">
        <v>50</v>
      </c>
      <c r="U302" s="59">
        <v>50</v>
      </c>
      <c r="V302" s="59">
        <v>50</v>
      </c>
      <c r="W302" s="59">
        <v>50</v>
      </c>
      <c r="X302" s="59">
        <v>50</v>
      </c>
      <c r="Y302" s="59">
        <v>50</v>
      </c>
      <c r="Z302" s="59">
        <v>50</v>
      </c>
      <c r="AA302" s="59">
        <v>50</v>
      </c>
      <c r="AB302" s="59">
        <v>50</v>
      </c>
      <c r="AC302" s="59">
        <v>50</v>
      </c>
      <c r="AE302" s="60"/>
      <c r="AF302" s="60"/>
    </row>
    <row r="303" spans="1:32" s="4" customFormat="1" ht="34.5" customHeight="1" x14ac:dyDescent="0.3">
      <c r="A303" s="46" t="s">
        <v>377</v>
      </c>
      <c r="B303" s="47" t="s">
        <v>378</v>
      </c>
      <c r="C303" s="35" t="s">
        <v>69</v>
      </c>
      <c r="D303" s="48" t="s">
        <v>74</v>
      </c>
      <c r="E303" s="35" t="s">
        <v>455</v>
      </c>
      <c r="F303" s="48" t="s">
        <v>87</v>
      </c>
      <c r="G303" s="49">
        <v>29401</v>
      </c>
      <c r="H303" s="50" t="s">
        <v>422</v>
      </c>
      <c r="I303" s="51" t="s">
        <v>473</v>
      </c>
      <c r="J303" s="52" t="s">
        <v>474</v>
      </c>
      <c r="K303" s="53" t="s">
        <v>379</v>
      </c>
      <c r="L303" s="54" t="s">
        <v>379</v>
      </c>
      <c r="M303" s="55" t="s">
        <v>383</v>
      </c>
      <c r="N303" s="56">
        <v>1</v>
      </c>
      <c r="O303" s="57">
        <f>1422.41*1.16</f>
        <v>1649.9956</v>
      </c>
      <c r="P303" s="58" t="s">
        <v>380</v>
      </c>
      <c r="Q303" s="57">
        <f t="shared" si="15"/>
        <v>1650</v>
      </c>
      <c r="R303" s="59">
        <v>0</v>
      </c>
      <c r="S303" s="59">
        <v>1650</v>
      </c>
      <c r="T303" s="59">
        <v>0</v>
      </c>
      <c r="U303" s="59">
        <v>0</v>
      </c>
      <c r="V303" s="59">
        <v>0</v>
      </c>
      <c r="W303" s="59">
        <v>0</v>
      </c>
      <c r="X303" s="59">
        <v>0</v>
      </c>
      <c r="Y303" s="59">
        <v>0</v>
      </c>
      <c r="Z303" s="59">
        <v>0</v>
      </c>
      <c r="AA303" s="59">
        <v>0</v>
      </c>
      <c r="AB303" s="59">
        <v>0</v>
      </c>
      <c r="AC303" s="59">
        <v>0</v>
      </c>
      <c r="AE303" s="60"/>
      <c r="AF303" s="60"/>
    </row>
    <row r="304" spans="1:32" s="4" customFormat="1" ht="31.5" customHeight="1" x14ac:dyDescent="0.3">
      <c r="A304" s="46" t="s">
        <v>377</v>
      </c>
      <c r="B304" s="47" t="s">
        <v>378</v>
      </c>
      <c r="C304" s="35" t="s">
        <v>69</v>
      </c>
      <c r="D304" s="48" t="s">
        <v>74</v>
      </c>
      <c r="E304" s="35" t="s">
        <v>455</v>
      </c>
      <c r="F304" s="48" t="s">
        <v>87</v>
      </c>
      <c r="G304" s="49">
        <v>29401</v>
      </c>
      <c r="H304" s="50" t="s">
        <v>422</v>
      </c>
      <c r="I304" s="51" t="s">
        <v>475</v>
      </c>
      <c r="J304" s="52" t="s">
        <v>467</v>
      </c>
      <c r="K304" s="53" t="s">
        <v>379</v>
      </c>
      <c r="L304" s="54" t="s">
        <v>379</v>
      </c>
      <c r="M304" s="55" t="s">
        <v>383</v>
      </c>
      <c r="N304" s="56">
        <v>1</v>
      </c>
      <c r="O304" s="57">
        <v>80</v>
      </c>
      <c r="P304" s="58" t="s">
        <v>380</v>
      </c>
      <c r="Q304" s="57">
        <f t="shared" si="15"/>
        <v>80</v>
      </c>
      <c r="R304" s="59">
        <v>0</v>
      </c>
      <c r="S304" s="59">
        <v>80</v>
      </c>
      <c r="T304" s="59">
        <v>0</v>
      </c>
      <c r="U304" s="59">
        <v>0</v>
      </c>
      <c r="V304" s="59">
        <v>0</v>
      </c>
      <c r="W304" s="59">
        <v>0</v>
      </c>
      <c r="X304" s="59">
        <v>0</v>
      </c>
      <c r="Y304" s="59">
        <v>0</v>
      </c>
      <c r="Z304" s="59">
        <v>0</v>
      </c>
      <c r="AA304" s="59">
        <v>0</v>
      </c>
      <c r="AB304" s="59">
        <v>0</v>
      </c>
      <c r="AC304" s="59">
        <v>0</v>
      </c>
      <c r="AE304" s="60"/>
      <c r="AF304" s="60"/>
    </row>
    <row r="305" spans="1:32" s="4" customFormat="1" ht="40.799999999999997" x14ac:dyDescent="0.3">
      <c r="A305" s="46" t="s">
        <v>377</v>
      </c>
      <c r="B305" s="47" t="s">
        <v>378</v>
      </c>
      <c r="C305" s="35" t="s">
        <v>69</v>
      </c>
      <c r="D305" s="48" t="s">
        <v>74</v>
      </c>
      <c r="E305" s="35" t="s">
        <v>455</v>
      </c>
      <c r="F305" s="48" t="s">
        <v>87</v>
      </c>
      <c r="G305" s="49">
        <v>29401</v>
      </c>
      <c r="H305" s="50" t="s">
        <v>422</v>
      </c>
      <c r="I305" s="51" t="s">
        <v>476</v>
      </c>
      <c r="J305" s="52" t="s">
        <v>477</v>
      </c>
      <c r="K305" s="53" t="s">
        <v>379</v>
      </c>
      <c r="L305" s="54" t="s">
        <v>379</v>
      </c>
      <c r="M305" s="55" t="s">
        <v>383</v>
      </c>
      <c r="N305" s="56">
        <v>1</v>
      </c>
      <c r="O305" s="57">
        <f>120.69*1.16</f>
        <v>140.00039999999998</v>
      </c>
      <c r="P305" s="58" t="s">
        <v>380</v>
      </c>
      <c r="Q305" s="57">
        <f t="shared" si="15"/>
        <v>140</v>
      </c>
      <c r="R305" s="59">
        <v>0</v>
      </c>
      <c r="S305" s="59">
        <v>140</v>
      </c>
      <c r="T305" s="59">
        <v>0</v>
      </c>
      <c r="U305" s="59">
        <v>0</v>
      </c>
      <c r="V305" s="59">
        <v>0</v>
      </c>
      <c r="W305" s="59">
        <v>0</v>
      </c>
      <c r="X305" s="59">
        <v>0</v>
      </c>
      <c r="Y305" s="59">
        <v>0</v>
      </c>
      <c r="Z305" s="59">
        <v>0</v>
      </c>
      <c r="AA305" s="59">
        <v>0</v>
      </c>
      <c r="AB305" s="59">
        <v>0</v>
      </c>
      <c r="AC305" s="59">
        <v>0</v>
      </c>
      <c r="AE305" s="60"/>
      <c r="AF305" s="60"/>
    </row>
    <row r="306" spans="1:32" s="4" customFormat="1" ht="24.75" customHeight="1" x14ac:dyDescent="0.3">
      <c r="A306" s="46" t="s">
        <v>377</v>
      </c>
      <c r="B306" s="47" t="s">
        <v>378</v>
      </c>
      <c r="C306" s="35" t="s">
        <v>69</v>
      </c>
      <c r="D306" s="48" t="s">
        <v>74</v>
      </c>
      <c r="E306" s="35" t="s">
        <v>455</v>
      </c>
      <c r="F306" s="48" t="s">
        <v>87</v>
      </c>
      <c r="G306" s="49">
        <v>31401</v>
      </c>
      <c r="H306" s="50" t="s">
        <v>427</v>
      </c>
      <c r="I306" s="51" t="s">
        <v>428</v>
      </c>
      <c r="J306" s="52" t="s">
        <v>427</v>
      </c>
      <c r="K306" s="53" t="s">
        <v>379</v>
      </c>
      <c r="L306" s="54" t="s">
        <v>379</v>
      </c>
      <c r="M306" s="55" t="s">
        <v>429</v>
      </c>
      <c r="N306" s="56">
        <v>12</v>
      </c>
      <c r="O306" s="57">
        <v>600</v>
      </c>
      <c r="P306" s="58" t="s">
        <v>380</v>
      </c>
      <c r="Q306" s="57">
        <f t="shared" si="15"/>
        <v>7200</v>
      </c>
      <c r="R306" s="59">
        <v>600</v>
      </c>
      <c r="S306" s="59">
        <v>600</v>
      </c>
      <c r="T306" s="59">
        <v>600</v>
      </c>
      <c r="U306" s="59">
        <v>600</v>
      </c>
      <c r="V306" s="59">
        <v>600</v>
      </c>
      <c r="W306" s="59">
        <v>600</v>
      </c>
      <c r="X306" s="59">
        <v>600</v>
      </c>
      <c r="Y306" s="59">
        <v>600</v>
      </c>
      <c r="Z306" s="59">
        <v>600</v>
      </c>
      <c r="AA306" s="59">
        <v>600</v>
      </c>
      <c r="AB306" s="59">
        <v>600</v>
      </c>
      <c r="AC306" s="59">
        <v>600</v>
      </c>
      <c r="AE306" s="60"/>
      <c r="AF306" s="60"/>
    </row>
    <row r="307" spans="1:32" s="4" customFormat="1" ht="29.25" customHeight="1" x14ac:dyDescent="0.3">
      <c r="A307" s="46" t="s">
        <v>377</v>
      </c>
      <c r="B307" s="47" t="s">
        <v>378</v>
      </c>
      <c r="C307" s="35" t="s">
        <v>69</v>
      </c>
      <c r="D307" s="48" t="s">
        <v>74</v>
      </c>
      <c r="E307" s="35" t="s">
        <v>455</v>
      </c>
      <c r="F307" s="48" t="s">
        <v>87</v>
      </c>
      <c r="G307" s="49">
        <v>32201</v>
      </c>
      <c r="H307" s="50" t="s">
        <v>437</v>
      </c>
      <c r="I307" s="51" t="s">
        <v>428</v>
      </c>
      <c r="J307" s="52" t="s">
        <v>437</v>
      </c>
      <c r="K307" s="63" t="s">
        <v>478</v>
      </c>
      <c r="L307" s="54" t="s">
        <v>429</v>
      </c>
      <c r="M307" s="55" t="s">
        <v>429</v>
      </c>
      <c r="N307" s="56">
        <v>12</v>
      </c>
      <c r="O307" s="57">
        <v>49088</v>
      </c>
      <c r="P307" s="58" t="s">
        <v>380</v>
      </c>
      <c r="Q307" s="57">
        <f t="shared" si="15"/>
        <v>589056</v>
      </c>
      <c r="R307" s="59">
        <v>0</v>
      </c>
      <c r="S307" s="59">
        <v>49088</v>
      </c>
      <c r="T307" s="59">
        <v>49088</v>
      </c>
      <c r="U307" s="59">
        <v>49088</v>
      </c>
      <c r="V307" s="59">
        <v>49088</v>
      </c>
      <c r="W307" s="59">
        <v>49088</v>
      </c>
      <c r="X307" s="59">
        <v>49088</v>
      </c>
      <c r="Y307" s="59">
        <v>49088</v>
      </c>
      <c r="Z307" s="59">
        <v>49088</v>
      </c>
      <c r="AA307" s="59">
        <v>49088</v>
      </c>
      <c r="AB307" s="59">
        <v>49088</v>
      </c>
      <c r="AC307" s="59">
        <v>98176</v>
      </c>
      <c r="AE307" s="60"/>
      <c r="AF307" s="60"/>
    </row>
    <row r="308" spans="1:32" s="4" customFormat="1" ht="30.6" x14ac:dyDescent="0.3">
      <c r="A308" s="46" t="s">
        <v>377</v>
      </c>
      <c r="B308" s="47" t="s">
        <v>378</v>
      </c>
      <c r="C308" s="35" t="s">
        <v>69</v>
      </c>
      <c r="D308" s="48" t="s">
        <v>74</v>
      </c>
      <c r="E308" s="35" t="s">
        <v>455</v>
      </c>
      <c r="F308" s="48" t="s">
        <v>87</v>
      </c>
      <c r="G308" s="49">
        <v>35801</v>
      </c>
      <c r="H308" s="50" t="s">
        <v>440</v>
      </c>
      <c r="I308" s="51" t="s">
        <v>428</v>
      </c>
      <c r="J308" s="52" t="s">
        <v>440</v>
      </c>
      <c r="K308" s="53" t="s">
        <v>442</v>
      </c>
      <c r="L308" s="54" t="s">
        <v>429</v>
      </c>
      <c r="M308" s="55" t="s">
        <v>429</v>
      </c>
      <c r="N308" s="56">
        <v>12</v>
      </c>
      <c r="O308" s="57">
        <v>9974</v>
      </c>
      <c r="P308" s="58" t="s">
        <v>432</v>
      </c>
      <c r="Q308" s="57">
        <f>SUM(R308:AC308)</f>
        <v>119688</v>
      </c>
      <c r="R308" s="59">
        <v>0</v>
      </c>
      <c r="S308" s="59">
        <v>9974</v>
      </c>
      <c r="T308" s="59">
        <v>9974</v>
      </c>
      <c r="U308" s="59">
        <v>9974</v>
      </c>
      <c r="V308" s="59">
        <v>9974</v>
      </c>
      <c r="W308" s="59">
        <v>9974</v>
      </c>
      <c r="X308" s="59">
        <v>9974</v>
      </c>
      <c r="Y308" s="59">
        <v>9974</v>
      </c>
      <c r="Z308" s="59">
        <v>9974</v>
      </c>
      <c r="AA308" s="59">
        <v>9974</v>
      </c>
      <c r="AB308" s="59">
        <v>9974</v>
      </c>
      <c r="AC308" s="59">
        <v>19948</v>
      </c>
      <c r="AE308" s="60"/>
      <c r="AF308" s="60"/>
    </row>
    <row r="309" spans="1:32" s="4" customFormat="1" ht="30.6" x14ac:dyDescent="0.3">
      <c r="A309" s="46" t="s">
        <v>377</v>
      </c>
      <c r="B309" s="47" t="s">
        <v>378</v>
      </c>
      <c r="C309" s="35" t="s">
        <v>69</v>
      </c>
      <c r="D309" s="48" t="s">
        <v>74</v>
      </c>
      <c r="E309" s="35" t="s">
        <v>455</v>
      </c>
      <c r="F309" s="48" t="s">
        <v>87</v>
      </c>
      <c r="G309" s="49">
        <v>35901</v>
      </c>
      <c r="H309" s="50" t="s">
        <v>479</v>
      </c>
      <c r="I309" s="51" t="s">
        <v>428</v>
      </c>
      <c r="J309" s="52" t="s">
        <v>479</v>
      </c>
      <c r="K309" s="64" t="s">
        <v>428</v>
      </c>
      <c r="L309" s="54" t="s">
        <v>429</v>
      </c>
      <c r="M309" s="55" t="s">
        <v>429</v>
      </c>
      <c r="N309" s="56">
        <v>2</v>
      </c>
      <c r="O309" s="57">
        <v>1600</v>
      </c>
      <c r="P309" s="58" t="s">
        <v>380</v>
      </c>
      <c r="Q309" s="57">
        <f t="shared" ref="Q309" si="16">SUM(R309:AC309)</f>
        <v>3200</v>
      </c>
      <c r="R309" s="59">
        <v>0</v>
      </c>
      <c r="S309" s="59">
        <v>1600</v>
      </c>
      <c r="T309" s="59">
        <v>0</v>
      </c>
      <c r="U309" s="59">
        <v>0</v>
      </c>
      <c r="V309" s="59">
        <v>0</v>
      </c>
      <c r="W309" s="59">
        <v>0</v>
      </c>
      <c r="X309" s="59">
        <v>0</v>
      </c>
      <c r="Y309" s="59">
        <v>1600</v>
      </c>
      <c r="Z309" s="59">
        <v>0</v>
      </c>
      <c r="AA309" s="59">
        <v>0</v>
      </c>
      <c r="AB309" s="59">
        <v>0</v>
      </c>
      <c r="AC309" s="59">
        <v>0</v>
      </c>
      <c r="AE309" s="60"/>
      <c r="AF309" s="60"/>
    </row>
    <row r="310" spans="1:32" s="165" customFormat="1" ht="15" customHeight="1" x14ac:dyDescent="0.3">
      <c r="A310" s="71" t="s">
        <v>1047</v>
      </c>
      <c r="B310" s="71" t="s">
        <v>1048</v>
      </c>
      <c r="C310" s="113" t="s">
        <v>69</v>
      </c>
      <c r="D310" s="71" t="s">
        <v>1049</v>
      </c>
      <c r="E310" s="113" t="s">
        <v>69</v>
      </c>
      <c r="F310" s="71" t="s">
        <v>72</v>
      </c>
      <c r="G310" s="161">
        <v>32021</v>
      </c>
      <c r="H310" s="162" t="s">
        <v>1050</v>
      </c>
      <c r="I310" s="67" t="s">
        <v>429</v>
      </c>
      <c r="J310" s="71" t="s">
        <v>1051</v>
      </c>
      <c r="K310" s="67" t="s">
        <v>1052</v>
      </c>
      <c r="L310" s="67" t="s">
        <v>988</v>
      </c>
      <c r="M310" s="67" t="s">
        <v>429</v>
      </c>
      <c r="N310" s="67">
        <v>12</v>
      </c>
      <c r="O310" s="163">
        <v>65529</v>
      </c>
      <c r="P310" s="71" t="s">
        <v>380</v>
      </c>
      <c r="Q310" s="164">
        <f>SUBTOTAL(9,R310:AC310)</f>
        <v>780099</v>
      </c>
      <c r="R310" s="164">
        <v>0</v>
      </c>
      <c r="S310" s="164">
        <v>63209</v>
      </c>
      <c r="T310" s="164">
        <v>63209</v>
      </c>
      <c r="U310" s="164">
        <v>63420</v>
      </c>
      <c r="V310" s="164">
        <v>65529</v>
      </c>
      <c r="W310" s="164">
        <v>65529</v>
      </c>
      <c r="X310" s="164">
        <v>65529</v>
      </c>
      <c r="Y310" s="164">
        <v>65529</v>
      </c>
      <c r="Z310" s="164">
        <v>65529</v>
      </c>
      <c r="AA310" s="164">
        <v>65529</v>
      </c>
      <c r="AB310" s="164">
        <v>65529</v>
      </c>
      <c r="AC310" s="164">
        <v>131558</v>
      </c>
    </row>
    <row r="311" spans="1:32" s="165" customFormat="1" ht="15" customHeight="1" x14ac:dyDescent="0.3">
      <c r="A311" s="71" t="s">
        <v>1047</v>
      </c>
      <c r="B311" s="71" t="s">
        <v>1048</v>
      </c>
      <c r="C311" s="113" t="s">
        <v>69</v>
      </c>
      <c r="D311" s="71" t="s">
        <v>1049</v>
      </c>
      <c r="E311" s="113" t="s">
        <v>69</v>
      </c>
      <c r="F311" s="71" t="s">
        <v>72</v>
      </c>
      <c r="G311" s="67">
        <v>33801</v>
      </c>
      <c r="H311" s="71" t="s">
        <v>439</v>
      </c>
      <c r="I311" s="67" t="s">
        <v>429</v>
      </c>
      <c r="J311" s="71" t="s">
        <v>1053</v>
      </c>
      <c r="K311" s="67" t="s">
        <v>1054</v>
      </c>
      <c r="L311" s="67" t="s">
        <v>988</v>
      </c>
      <c r="M311" s="67" t="s">
        <v>429</v>
      </c>
      <c r="N311" s="67">
        <v>12</v>
      </c>
      <c r="O311" s="163">
        <v>36978</v>
      </c>
      <c r="P311" s="71" t="s">
        <v>380</v>
      </c>
      <c r="Q311" s="164">
        <f t="shared" ref="Q311:Q396" si="17">SUBTOTAL(9,R311:AC311)</f>
        <v>443737</v>
      </c>
      <c r="R311" s="164">
        <v>0</v>
      </c>
      <c r="S311" s="164">
        <v>36978</v>
      </c>
      <c r="T311" s="164">
        <v>36978</v>
      </c>
      <c r="U311" s="164">
        <v>36978</v>
      </c>
      <c r="V311" s="164">
        <v>36978</v>
      </c>
      <c r="W311" s="164">
        <v>36978</v>
      </c>
      <c r="X311" s="164">
        <v>36978</v>
      </c>
      <c r="Y311" s="164">
        <v>36978</v>
      </c>
      <c r="Z311" s="164">
        <v>36978</v>
      </c>
      <c r="AA311" s="164">
        <v>36978</v>
      </c>
      <c r="AB311" s="164">
        <v>36978</v>
      </c>
      <c r="AC311" s="164">
        <v>73957</v>
      </c>
    </row>
    <row r="312" spans="1:32" s="165" customFormat="1" ht="15" customHeight="1" x14ac:dyDescent="0.3">
      <c r="A312" s="71" t="s">
        <v>1047</v>
      </c>
      <c r="B312" s="71" t="s">
        <v>1048</v>
      </c>
      <c r="C312" s="113" t="s">
        <v>69</v>
      </c>
      <c r="D312" s="71" t="s">
        <v>1049</v>
      </c>
      <c r="E312" s="113" t="s">
        <v>69</v>
      </c>
      <c r="F312" s="71" t="s">
        <v>72</v>
      </c>
      <c r="G312" s="67">
        <v>35801</v>
      </c>
      <c r="H312" s="71" t="s">
        <v>1055</v>
      </c>
      <c r="I312" s="67" t="s">
        <v>429</v>
      </c>
      <c r="J312" s="71" t="s">
        <v>1056</v>
      </c>
      <c r="K312" s="67" t="s">
        <v>1057</v>
      </c>
      <c r="L312" s="67" t="s">
        <v>988</v>
      </c>
      <c r="M312" s="67" t="s">
        <v>429</v>
      </c>
      <c r="N312" s="67">
        <v>12</v>
      </c>
      <c r="O312" s="163">
        <v>19602</v>
      </c>
      <c r="P312" s="71" t="s">
        <v>380</v>
      </c>
      <c r="Q312" s="164">
        <f t="shared" si="17"/>
        <v>235223</v>
      </c>
      <c r="R312" s="164">
        <v>0</v>
      </c>
      <c r="S312" s="164">
        <v>19602</v>
      </c>
      <c r="T312" s="164">
        <v>19602</v>
      </c>
      <c r="U312" s="164">
        <v>19602</v>
      </c>
      <c r="V312" s="164">
        <v>19602</v>
      </c>
      <c r="W312" s="164">
        <v>19602</v>
      </c>
      <c r="X312" s="164">
        <v>19602</v>
      </c>
      <c r="Y312" s="164">
        <v>19602</v>
      </c>
      <c r="Z312" s="164">
        <v>19602</v>
      </c>
      <c r="AA312" s="164">
        <v>19602</v>
      </c>
      <c r="AB312" s="164">
        <v>19602</v>
      </c>
      <c r="AC312" s="164">
        <v>39203</v>
      </c>
    </row>
    <row r="313" spans="1:32" s="165" customFormat="1" ht="15" customHeight="1" x14ac:dyDescent="0.3">
      <c r="A313" s="71" t="s">
        <v>1047</v>
      </c>
      <c r="B313" s="71" t="s">
        <v>1048</v>
      </c>
      <c r="C313" s="113" t="s">
        <v>69</v>
      </c>
      <c r="D313" s="71" t="s">
        <v>1049</v>
      </c>
      <c r="E313" s="113" t="s">
        <v>69</v>
      </c>
      <c r="F313" s="71" t="s">
        <v>72</v>
      </c>
      <c r="G313" s="67">
        <v>35101</v>
      </c>
      <c r="H313" s="71" t="s">
        <v>229</v>
      </c>
      <c r="I313" s="67" t="s">
        <v>429</v>
      </c>
      <c r="J313" s="71" t="s">
        <v>1058</v>
      </c>
      <c r="K313" s="67" t="s">
        <v>1059</v>
      </c>
      <c r="L313" s="67" t="s">
        <v>1059</v>
      </c>
      <c r="M313" s="67" t="s">
        <v>429</v>
      </c>
      <c r="N313" s="67">
        <v>1</v>
      </c>
      <c r="O313" s="163">
        <v>1000</v>
      </c>
      <c r="P313" s="71" t="s">
        <v>380</v>
      </c>
      <c r="Q313" s="164">
        <f t="shared" si="17"/>
        <v>1000</v>
      </c>
      <c r="R313" s="164">
        <v>0</v>
      </c>
      <c r="S313" s="164">
        <v>1000</v>
      </c>
      <c r="T313" s="164">
        <v>0</v>
      </c>
      <c r="U313" s="164">
        <v>0</v>
      </c>
      <c r="V313" s="164">
        <v>0</v>
      </c>
      <c r="W313" s="164">
        <v>0</v>
      </c>
      <c r="X313" s="164">
        <v>0</v>
      </c>
      <c r="Y313" s="164">
        <v>0</v>
      </c>
      <c r="Z313" s="164">
        <v>0</v>
      </c>
      <c r="AA313" s="164">
        <v>0</v>
      </c>
      <c r="AB313" s="164">
        <v>0</v>
      </c>
      <c r="AC313" s="164">
        <v>0</v>
      </c>
    </row>
    <row r="314" spans="1:32" s="165" customFormat="1" ht="15" customHeight="1" x14ac:dyDescent="0.3">
      <c r="A314" s="71" t="s">
        <v>1047</v>
      </c>
      <c r="B314" s="71" t="s">
        <v>1048</v>
      </c>
      <c r="C314" s="113" t="s">
        <v>69</v>
      </c>
      <c r="D314" s="71" t="s">
        <v>1049</v>
      </c>
      <c r="E314" s="113" t="s">
        <v>69</v>
      </c>
      <c r="F314" s="71" t="s">
        <v>72</v>
      </c>
      <c r="G314" s="67">
        <v>35901</v>
      </c>
      <c r="H314" s="71" t="s">
        <v>1060</v>
      </c>
      <c r="I314" s="67" t="s">
        <v>429</v>
      </c>
      <c r="J314" s="71" t="s">
        <v>1061</v>
      </c>
      <c r="K314" s="67" t="s">
        <v>1059</v>
      </c>
      <c r="L314" s="67" t="s">
        <v>1059</v>
      </c>
      <c r="M314" s="67" t="s">
        <v>429</v>
      </c>
      <c r="N314" s="67">
        <v>8</v>
      </c>
      <c r="O314" s="163">
        <v>4000</v>
      </c>
      <c r="P314" s="71" t="s">
        <v>380</v>
      </c>
      <c r="Q314" s="164">
        <f t="shared" si="17"/>
        <v>32000</v>
      </c>
      <c r="R314" s="164">
        <v>3770</v>
      </c>
      <c r="S314" s="164">
        <v>0</v>
      </c>
      <c r="T314" s="164">
        <v>3770</v>
      </c>
      <c r="U314" s="164">
        <v>3770</v>
      </c>
      <c r="V314" s="164">
        <v>3770</v>
      </c>
      <c r="W314" s="164">
        <v>3770</v>
      </c>
      <c r="X314" s="164">
        <v>0</v>
      </c>
      <c r="Y314" s="164">
        <v>3770</v>
      </c>
      <c r="Z314" s="164">
        <v>3770</v>
      </c>
      <c r="AA314" s="164">
        <v>0</v>
      </c>
      <c r="AB314" s="164">
        <v>5610</v>
      </c>
      <c r="AC314" s="164">
        <v>0</v>
      </c>
    </row>
    <row r="315" spans="1:32" s="165" customFormat="1" ht="15" customHeight="1" x14ac:dyDescent="0.3">
      <c r="A315" s="71" t="s">
        <v>1047</v>
      </c>
      <c r="B315" s="71" t="s">
        <v>1048</v>
      </c>
      <c r="C315" s="113" t="s">
        <v>69</v>
      </c>
      <c r="D315" s="71" t="s">
        <v>1049</v>
      </c>
      <c r="E315" s="113" t="s">
        <v>69</v>
      </c>
      <c r="F315" s="71" t="s">
        <v>71</v>
      </c>
      <c r="G315" s="67">
        <v>31401</v>
      </c>
      <c r="H315" s="71" t="s">
        <v>742</v>
      </c>
      <c r="I315" s="67" t="s">
        <v>429</v>
      </c>
      <c r="J315" s="71" t="s">
        <v>427</v>
      </c>
      <c r="K315" s="67" t="s">
        <v>1059</v>
      </c>
      <c r="L315" s="67" t="s">
        <v>1059</v>
      </c>
      <c r="M315" s="67" t="s">
        <v>429</v>
      </c>
      <c r="N315" s="67">
        <v>12</v>
      </c>
      <c r="O315" s="163">
        <v>1500</v>
      </c>
      <c r="P315" s="71" t="s">
        <v>380</v>
      </c>
      <c r="Q315" s="164">
        <f t="shared" si="17"/>
        <v>18000</v>
      </c>
      <c r="R315" s="164">
        <v>1500</v>
      </c>
      <c r="S315" s="164">
        <v>1500</v>
      </c>
      <c r="T315" s="164">
        <v>1500</v>
      </c>
      <c r="U315" s="164">
        <v>1500</v>
      </c>
      <c r="V315" s="164">
        <v>1500</v>
      </c>
      <c r="W315" s="164">
        <v>1500</v>
      </c>
      <c r="X315" s="164">
        <v>1500</v>
      </c>
      <c r="Y315" s="164">
        <v>1500</v>
      </c>
      <c r="Z315" s="164">
        <v>1500</v>
      </c>
      <c r="AA315" s="164">
        <v>1500</v>
      </c>
      <c r="AB315" s="164">
        <v>1500</v>
      </c>
      <c r="AC315" s="164">
        <v>1500</v>
      </c>
    </row>
    <row r="316" spans="1:32" s="165" customFormat="1" ht="15" customHeight="1" x14ac:dyDescent="0.3">
      <c r="A316" s="71" t="s">
        <v>1047</v>
      </c>
      <c r="B316" s="71" t="s">
        <v>1048</v>
      </c>
      <c r="C316" s="113" t="s">
        <v>69</v>
      </c>
      <c r="D316" s="71" t="s">
        <v>1049</v>
      </c>
      <c r="E316" s="113" t="s">
        <v>69</v>
      </c>
      <c r="F316" s="71" t="s">
        <v>71</v>
      </c>
      <c r="G316" s="67">
        <v>35201</v>
      </c>
      <c r="H316" s="71" t="s">
        <v>1062</v>
      </c>
      <c r="I316" s="67" t="s">
        <v>429</v>
      </c>
      <c r="J316" s="71" t="s">
        <v>1062</v>
      </c>
      <c r="K316" s="67" t="s">
        <v>1059</v>
      </c>
      <c r="L316" s="67" t="s">
        <v>1059</v>
      </c>
      <c r="M316" s="67" t="s">
        <v>429</v>
      </c>
      <c r="N316" s="67">
        <v>4</v>
      </c>
      <c r="O316" s="163">
        <v>1500</v>
      </c>
      <c r="P316" s="71" t="s">
        <v>380</v>
      </c>
      <c r="Q316" s="164">
        <f t="shared" si="17"/>
        <v>6000</v>
      </c>
      <c r="R316" s="164">
        <v>0</v>
      </c>
      <c r="S316" s="164">
        <v>1500</v>
      </c>
      <c r="T316" s="164">
        <v>0</v>
      </c>
      <c r="U316" s="164">
        <v>0</v>
      </c>
      <c r="V316" s="164">
        <v>0</v>
      </c>
      <c r="W316" s="164">
        <v>1500</v>
      </c>
      <c r="X316" s="164">
        <v>0</v>
      </c>
      <c r="Y316" s="164">
        <v>0</v>
      </c>
      <c r="Z316" s="164">
        <v>1500</v>
      </c>
      <c r="AA316" s="164">
        <v>0</v>
      </c>
      <c r="AB316" s="164">
        <v>1500</v>
      </c>
      <c r="AC316" s="164">
        <v>0</v>
      </c>
    </row>
    <row r="317" spans="1:32" s="165" customFormat="1" ht="15" customHeight="1" x14ac:dyDescent="0.3">
      <c r="A317" s="71" t="s">
        <v>1047</v>
      </c>
      <c r="B317" s="71" t="s">
        <v>1048</v>
      </c>
      <c r="C317" s="113" t="s">
        <v>69</v>
      </c>
      <c r="D317" s="71" t="s">
        <v>1049</v>
      </c>
      <c r="E317" s="113" t="s">
        <v>69</v>
      </c>
      <c r="F317" s="71" t="s">
        <v>71</v>
      </c>
      <c r="G317" s="67">
        <v>39202</v>
      </c>
      <c r="H317" s="71" t="s">
        <v>234</v>
      </c>
      <c r="I317" s="67" t="s">
        <v>429</v>
      </c>
      <c r="J317" s="71" t="s">
        <v>1063</v>
      </c>
      <c r="K317" s="67" t="s">
        <v>1059</v>
      </c>
      <c r="L317" s="67" t="s">
        <v>1059</v>
      </c>
      <c r="M317" s="67" t="s">
        <v>429</v>
      </c>
      <c r="N317" s="67">
        <v>2</v>
      </c>
      <c r="O317" s="163">
        <v>1484.5</v>
      </c>
      <c r="P317" s="71" t="s">
        <v>380</v>
      </c>
      <c r="Q317" s="164">
        <f t="shared" si="17"/>
        <v>2969</v>
      </c>
      <c r="R317" s="164">
        <v>0</v>
      </c>
      <c r="S317" s="164">
        <v>0</v>
      </c>
      <c r="T317" s="164">
        <v>0</v>
      </c>
      <c r="U317" s="164">
        <v>0</v>
      </c>
      <c r="V317" s="164">
        <v>1500</v>
      </c>
      <c r="W317" s="164">
        <v>0</v>
      </c>
      <c r="X317" s="164">
        <v>0</v>
      </c>
      <c r="Y317" s="164">
        <v>0</v>
      </c>
      <c r="Z317" s="164">
        <v>0</v>
      </c>
      <c r="AA317" s="164">
        <v>0</v>
      </c>
      <c r="AB317" s="164">
        <v>1469</v>
      </c>
      <c r="AC317" s="164">
        <v>0</v>
      </c>
    </row>
    <row r="318" spans="1:32" s="165" customFormat="1" ht="15" customHeight="1" x14ac:dyDescent="0.3">
      <c r="A318" s="71" t="s">
        <v>1047</v>
      </c>
      <c r="B318" s="71" t="s">
        <v>1048</v>
      </c>
      <c r="C318" s="113" t="s">
        <v>69</v>
      </c>
      <c r="D318" s="71" t="s">
        <v>1049</v>
      </c>
      <c r="E318" s="113" t="s">
        <v>69</v>
      </c>
      <c r="F318" s="71" t="s">
        <v>71</v>
      </c>
      <c r="G318" s="67">
        <v>21101</v>
      </c>
      <c r="H318" s="71" t="s">
        <v>211</v>
      </c>
      <c r="I318" s="71" t="s">
        <v>1064</v>
      </c>
      <c r="J318" s="71" t="s">
        <v>1065</v>
      </c>
      <c r="K318" s="67" t="s">
        <v>1059</v>
      </c>
      <c r="L318" s="67" t="s">
        <v>1059</v>
      </c>
      <c r="M318" s="67" t="s">
        <v>383</v>
      </c>
      <c r="N318" s="67">
        <v>15</v>
      </c>
      <c r="O318" s="163">
        <v>4.6399999999999997</v>
      </c>
      <c r="P318" s="71" t="s">
        <v>380</v>
      </c>
      <c r="Q318" s="164">
        <f t="shared" si="17"/>
        <v>69.599999999999994</v>
      </c>
      <c r="R318" s="164">
        <v>69.599999999999994</v>
      </c>
      <c r="S318" s="164">
        <v>0</v>
      </c>
      <c r="T318" s="164">
        <v>0</v>
      </c>
      <c r="U318" s="164">
        <v>0</v>
      </c>
      <c r="V318" s="164">
        <v>0</v>
      </c>
      <c r="W318" s="164">
        <v>0</v>
      </c>
      <c r="X318" s="164">
        <v>0</v>
      </c>
      <c r="Y318" s="164">
        <v>0</v>
      </c>
      <c r="Z318" s="164">
        <v>0</v>
      </c>
      <c r="AA318" s="164">
        <v>0</v>
      </c>
      <c r="AB318" s="164">
        <v>0</v>
      </c>
      <c r="AC318" s="164">
        <v>0</v>
      </c>
    </row>
    <row r="319" spans="1:32" s="165" customFormat="1" ht="15" customHeight="1" x14ac:dyDescent="0.3">
      <c r="A319" s="71" t="s">
        <v>1047</v>
      </c>
      <c r="B319" s="71" t="s">
        <v>1048</v>
      </c>
      <c r="C319" s="113" t="s">
        <v>69</v>
      </c>
      <c r="D319" s="71" t="s">
        <v>1049</v>
      </c>
      <c r="E319" s="113" t="s">
        <v>69</v>
      </c>
      <c r="F319" s="71" t="s">
        <v>71</v>
      </c>
      <c r="G319" s="67">
        <v>21101</v>
      </c>
      <c r="H319" s="71" t="s">
        <v>211</v>
      </c>
      <c r="I319" s="71" t="s">
        <v>1066</v>
      </c>
      <c r="J319" s="71" t="s">
        <v>1067</v>
      </c>
      <c r="K319" s="67" t="s">
        <v>1059</v>
      </c>
      <c r="L319" s="67" t="s">
        <v>1059</v>
      </c>
      <c r="M319" s="67" t="s">
        <v>383</v>
      </c>
      <c r="N319" s="67">
        <v>2</v>
      </c>
      <c r="O319" s="163">
        <v>822.44</v>
      </c>
      <c r="P319" s="71" t="s">
        <v>380</v>
      </c>
      <c r="Q319" s="164">
        <f t="shared" si="17"/>
        <v>1644.88</v>
      </c>
      <c r="R319" s="164">
        <v>1644.88</v>
      </c>
      <c r="S319" s="164">
        <v>0</v>
      </c>
      <c r="T319" s="164">
        <v>0</v>
      </c>
      <c r="U319" s="164">
        <v>0</v>
      </c>
      <c r="V319" s="164">
        <v>0</v>
      </c>
      <c r="W319" s="164">
        <v>0</v>
      </c>
      <c r="X319" s="164">
        <v>0</v>
      </c>
      <c r="Y319" s="164">
        <v>0</v>
      </c>
      <c r="Z319" s="164">
        <v>0</v>
      </c>
      <c r="AA319" s="164">
        <v>0</v>
      </c>
      <c r="AB319" s="164">
        <v>0</v>
      </c>
      <c r="AC319" s="164">
        <v>0</v>
      </c>
    </row>
    <row r="320" spans="1:32" s="165" customFormat="1" ht="15" customHeight="1" x14ac:dyDescent="0.3">
      <c r="A320" s="71" t="s">
        <v>1047</v>
      </c>
      <c r="B320" s="71" t="s">
        <v>1048</v>
      </c>
      <c r="C320" s="113" t="s">
        <v>69</v>
      </c>
      <c r="D320" s="71" t="s">
        <v>1049</v>
      </c>
      <c r="E320" s="113" t="s">
        <v>69</v>
      </c>
      <c r="F320" s="71" t="s">
        <v>71</v>
      </c>
      <c r="G320" s="67">
        <v>21101</v>
      </c>
      <c r="H320" s="71" t="s">
        <v>211</v>
      </c>
      <c r="I320" s="71" t="s">
        <v>1068</v>
      </c>
      <c r="J320" s="71" t="s">
        <v>1069</v>
      </c>
      <c r="K320" s="67" t="s">
        <v>1059</v>
      </c>
      <c r="L320" s="67" t="s">
        <v>1059</v>
      </c>
      <c r="M320" s="67" t="s">
        <v>55</v>
      </c>
      <c r="N320" s="67">
        <v>2</v>
      </c>
      <c r="O320" s="163">
        <v>134.56</v>
      </c>
      <c r="P320" s="71" t="s">
        <v>380</v>
      </c>
      <c r="Q320" s="164">
        <f t="shared" si="17"/>
        <v>269.12</v>
      </c>
      <c r="R320" s="164">
        <v>269.12</v>
      </c>
      <c r="S320" s="164">
        <v>0</v>
      </c>
      <c r="T320" s="164">
        <v>0</v>
      </c>
      <c r="U320" s="164">
        <v>0</v>
      </c>
      <c r="V320" s="164">
        <v>0</v>
      </c>
      <c r="W320" s="164">
        <v>0</v>
      </c>
      <c r="X320" s="164">
        <v>0</v>
      </c>
      <c r="Y320" s="164">
        <v>0</v>
      </c>
      <c r="Z320" s="164">
        <v>0</v>
      </c>
      <c r="AA320" s="164">
        <v>0</v>
      </c>
      <c r="AB320" s="164">
        <v>0</v>
      </c>
      <c r="AC320" s="164">
        <v>0</v>
      </c>
    </row>
    <row r="321" spans="1:29" s="165" customFormat="1" ht="15" customHeight="1" x14ac:dyDescent="0.3">
      <c r="A321" s="71" t="s">
        <v>1047</v>
      </c>
      <c r="B321" s="71" t="s">
        <v>1048</v>
      </c>
      <c r="C321" s="113" t="s">
        <v>69</v>
      </c>
      <c r="D321" s="71" t="s">
        <v>1049</v>
      </c>
      <c r="E321" s="113" t="s">
        <v>69</v>
      </c>
      <c r="F321" s="71" t="s">
        <v>71</v>
      </c>
      <c r="G321" s="67">
        <v>21101</v>
      </c>
      <c r="H321" s="71" t="s">
        <v>211</v>
      </c>
      <c r="I321" s="71" t="s">
        <v>312</v>
      </c>
      <c r="J321" s="71" t="s">
        <v>83</v>
      </c>
      <c r="K321" s="67" t="s">
        <v>1059</v>
      </c>
      <c r="L321" s="67" t="s">
        <v>1059</v>
      </c>
      <c r="M321" s="67" t="s">
        <v>55</v>
      </c>
      <c r="N321" s="67">
        <v>30</v>
      </c>
      <c r="O321" s="163">
        <v>68.44</v>
      </c>
      <c r="P321" s="71" t="s">
        <v>380</v>
      </c>
      <c r="Q321" s="164">
        <f t="shared" si="17"/>
        <v>2053.1999999999998</v>
      </c>
      <c r="R321" s="164">
        <v>0</v>
      </c>
      <c r="S321" s="164">
        <v>2053.1999999999998</v>
      </c>
      <c r="T321" s="164">
        <v>0</v>
      </c>
      <c r="U321" s="164">
        <v>0</v>
      </c>
      <c r="V321" s="164">
        <v>0</v>
      </c>
      <c r="W321" s="164">
        <v>0</v>
      </c>
      <c r="X321" s="164">
        <v>0</v>
      </c>
      <c r="Y321" s="164">
        <v>0</v>
      </c>
      <c r="Z321" s="164">
        <v>0</v>
      </c>
      <c r="AA321" s="164">
        <v>0</v>
      </c>
      <c r="AB321" s="164">
        <v>0</v>
      </c>
      <c r="AC321" s="164">
        <v>0</v>
      </c>
    </row>
    <row r="322" spans="1:29" s="165" customFormat="1" ht="15" customHeight="1" x14ac:dyDescent="0.3">
      <c r="A322" s="71" t="s">
        <v>1047</v>
      </c>
      <c r="B322" s="71" t="s">
        <v>1048</v>
      </c>
      <c r="C322" s="113" t="s">
        <v>69</v>
      </c>
      <c r="D322" s="71" t="s">
        <v>1049</v>
      </c>
      <c r="E322" s="113" t="s">
        <v>69</v>
      </c>
      <c r="F322" s="71" t="s">
        <v>71</v>
      </c>
      <c r="G322" s="67">
        <v>21101</v>
      </c>
      <c r="H322" s="71" t="s">
        <v>211</v>
      </c>
      <c r="I322" s="71" t="s">
        <v>270</v>
      </c>
      <c r="J322" s="71" t="s">
        <v>35</v>
      </c>
      <c r="K322" s="67" t="s">
        <v>1059</v>
      </c>
      <c r="L322" s="67" t="s">
        <v>1059</v>
      </c>
      <c r="M322" s="67" t="s">
        <v>383</v>
      </c>
      <c r="N322" s="67">
        <v>15</v>
      </c>
      <c r="O322" s="163">
        <v>11.51</v>
      </c>
      <c r="P322" s="71" t="s">
        <v>380</v>
      </c>
      <c r="Q322" s="164">
        <f t="shared" si="17"/>
        <v>172.78</v>
      </c>
      <c r="R322" s="164">
        <v>0</v>
      </c>
      <c r="S322" s="164">
        <v>172.78</v>
      </c>
      <c r="T322" s="164">
        <v>0</v>
      </c>
      <c r="U322" s="164">
        <v>0</v>
      </c>
      <c r="V322" s="164">
        <v>0</v>
      </c>
      <c r="W322" s="164">
        <v>0</v>
      </c>
      <c r="X322" s="164">
        <v>0</v>
      </c>
      <c r="Y322" s="164">
        <v>0</v>
      </c>
      <c r="Z322" s="164">
        <v>0</v>
      </c>
      <c r="AA322" s="164">
        <v>0</v>
      </c>
      <c r="AB322" s="164">
        <v>0</v>
      </c>
      <c r="AC322" s="164">
        <v>0</v>
      </c>
    </row>
    <row r="323" spans="1:29" s="165" customFormat="1" ht="15" customHeight="1" x14ac:dyDescent="0.3">
      <c r="A323" s="71" t="s">
        <v>1047</v>
      </c>
      <c r="B323" s="71" t="s">
        <v>1048</v>
      </c>
      <c r="C323" s="113" t="s">
        <v>69</v>
      </c>
      <c r="D323" s="71" t="s">
        <v>1049</v>
      </c>
      <c r="E323" s="113" t="s">
        <v>69</v>
      </c>
      <c r="F323" s="71" t="s">
        <v>71</v>
      </c>
      <c r="G323" s="67">
        <v>21101</v>
      </c>
      <c r="H323" s="71" t="s">
        <v>211</v>
      </c>
      <c r="I323" s="71" t="s">
        <v>325</v>
      </c>
      <c r="J323" s="71" t="s">
        <v>76</v>
      </c>
      <c r="K323" s="67" t="s">
        <v>1059</v>
      </c>
      <c r="L323" s="67" t="s">
        <v>1059</v>
      </c>
      <c r="M323" s="67" t="s">
        <v>383</v>
      </c>
      <c r="N323" s="67">
        <v>15</v>
      </c>
      <c r="O323" s="163">
        <v>11.51</v>
      </c>
      <c r="P323" s="71" t="s">
        <v>380</v>
      </c>
      <c r="Q323" s="164">
        <f t="shared" si="17"/>
        <v>172.78</v>
      </c>
      <c r="R323" s="164">
        <v>0</v>
      </c>
      <c r="S323" s="164">
        <v>172.78</v>
      </c>
      <c r="T323" s="164">
        <v>0</v>
      </c>
      <c r="U323" s="164">
        <v>0</v>
      </c>
      <c r="V323" s="164">
        <v>0</v>
      </c>
      <c r="W323" s="164">
        <v>0</v>
      </c>
      <c r="X323" s="164">
        <v>0</v>
      </c>
      <c r="Y323" s="164">
        <v>0</v>
      </c>
      <c r="Z323" s="164">
        <v>0</v>
      </c>
      <c r="AA323" s="164">
        <v>0</v>
      </c>
      <c r="AB323" s="164">
        <v>0</v>
      </c>
      <c r="AC323" s="164">
        <v>0</v>
      </c>
    </row>
    <row r="324" spans="1:29" s="165" customFormat="1" ht="15" customHeight="1" x14ac:dyDescent="0.3">
      <c r="A324" s="71" t="s">
        <v>1047</v>
      </c>
      <c r="B324" s="71" t="s">
        <v>1048</v>
      </c>
      <c r="C324" s="113" t="s">
        <v>69</v>
      </c>
      <c r="D324" s="71" t="s">
        <v>1049</v>
      </c>
      <c r="E324" s="113" t="s">
        <v>69</v>
      </c>
      <c r="F324" s="71" t="s">
        <v>71</v>
      </c>
      <c r="G324" s="67">
        <v>21101</v>
      </c>
      <c r="H324" s="71" t="s">
        <v>211</v>
      </c>
      <c r="I324" s="71" t="s">
        <v>802</v>
      </c>
      <c r="J324" s="71" t="s">
        <v>803</v>
      </c>
      <c r="K324" s="67" t="s">
        <v>1059</v>
      </c>
      <c r="L324" s="67" t="s">
        <v>1059</v>
      </c>
      <c r="M324" s="67" t="s">
        <v>383</v>
      </c>
      <c r="N324" s="67">
        <v>15</v>
      </c>
      <c r="O324" s="163">
        <v>11.51</v>
      </c>
      <c r="P324" s="71" t="s">
        <v>380</v>
      </c>
      <c r="Q324" s="164">
        <f t="shared" si="17"/>
        <v>172.78</v>
      </c>
      <c r="R324" s="164">
        <v>0</v>
      </c>
      <c r="S324" s="164">
        <v>172.78</v>
      </c>
      <c r="T324" s="164">
        <v>0</v>
      </c>
      <c r="U324" s="164">
        <v>0</v>
      </c>
      <c r="V324" s="164">
        <v>0</v>
      </c>
      <c r="W324" s="164">
        <v>0</v>
      </c>
      <c r="X324" s="164">
        <v>0</v>
      </c>
      <c r="Y324" s="164">
        <v>0</v>
      </c>
      <c r="Z324" s="164">
        <v>0</v>
      </c>
      <c r="AA324" s="164">
        <v>0</v>
      </c>
      <c r="AB324" s="164">
        <v>0</v>
      </c>
      <c r="AC324" s="164">
        <v>0</v>
      </c>
    </row>
    <row r="325" spans="1:29" s="165" customFormat="1" ht="15" customHeight="1" x14ac:dyDescent="0.3">
      <c r="A325" s="71" t="s">
        <v>1047</v>
      </c>
      <c r="B325" s="71" t="s">
        <v>1048</v>
      </c>
      <c r="C325" s="113" t="s">
        <v>69</v>
      </c>
      <c r="D325" s="71" t="s">
        <v>1049</v>
      </c>
      <c r="E325" s="113" t="s">
        <v>69</v>
      </c>
      <c r="F325" s="71" t="s">
        <v>71</v>
      </c>
      <c r="G325" s="67">
        <v>21101</v>
      </c>
      <c r="H325" s="71" t="s">
        <v>211</v>
      </c>
      <c r="I325" s="71" t="s">
        <v>1070</v>
      </c>
      <c r="J325" s="71" t="s">
        <v>1071</v>
      </c>
      <c r="K325" s="67" t="s">
        <v>1059</v>
      </c>
      <c r="L325" s="67" t="s">
        <v>1059</v>
      </c>
      <c r="M325" s="67" t="s">
        <v>383</v>
      </c>
      <c r="N325" s="67">
        <v>15</v>
      </c>
      <c r="O325" s="163">
        <v>11.51</v>
      </c>
      <c r="P325" s="71" t="s">
        <v>380</v>
      </c>
      <c r="Q325" s="164">
        <f t="shared" si="17"/>
        <v>172.78</v>
      </c>
      <c r="R325" s="164">
        <v>0</v>
      </c>
      <c r="S325" s="164">
        <v>172.78</v>
      </c>
      <c r="T325" s="164">
        <v>0</v>
      </c>
      <c r="U325" s="164">
        <v>0</v>
      </c>
      <c r="V325" s="164">
        <v>0</v>
      </c>
      <c r="W325" s="164">
        <v>0</v>
      </c>
      <c r="X325" s="164">
        <v>0</v>
      </c>
      <c r="Y325" s="164">
        <v>0</v>
      </c>
      <c r="Z325" s="164">
        <v>0</v>
      </c>
      <c r="AA325" s="164">
        <v>0</v>
      </c>
      <c r="AB325" s="164">
        <v>0</v>
      </c>
      <c r="AC325" s="164">
        <v>0</v>
      </c>
    </row>
    <row r="326" spans="1:29" s="165" customFormat="1" ht="15" customHeight="1" x14ac:dyDescent="0.3">
      <c r="A326" s="71" t="s">
        <v>1047</v>
      </c>
      <c r="B326" s="71" t="s">
        <v>1048</v>
      </c>
      <c r="C326" s="113" t="s">
        <v>69</v>
      </c>
      <c r="D326" s="71" t="s">
        <v>1049</v>
      </c>
      <c r="E326" s="113" t="s">
        <v>69</v>
      </c>
      <c r="F326" s="71" t="s">
        <v>71</v>
      </c>
      <c r="G326" s="67">
        <v>21101</v>
      </c>
      <c r="H326" s="71" t="s">
        <v>211</v>
      </c>
      <c r="I326" s="71" t="s">
        <v>289</v>
      </c>
      <c r="J326" s="71" t="s">
        <v>77</v>
      </c>
      <c r="K326" s="67" t="s">
        <v>1059</v>
      </c>
      <c r="L326" s="67" t="s">
        <v>1059</v>
      </c>
      <c r="M326" s="67" t="s">
        <v>383</v>
      </c>
      <c r="N326" s="67">
        <v>15</v>
      </c>
      <c r="O326" s="163">
        <v>11.51</v>
      </c>
      <c r="P326" s="71" t="s">
        <v>380</v>
      </c>
      <c r="Q326" s="164">
        <f t="shared" si="17"/>
        <v>172.78</v>
      </c>
      <c r="R326" s="164">
        <v>0</v>
      </c>
      <c r="S326" s="164">
        <v>172.78</v>
      </c>
      <c r="T326" s="164">
        <v>0</v>
      </c>
      <c r="U326" s="164">
        <v>0</v>
      </c>
      <c r="V326" s="164">
        <v>0</v>
      </c>
      <c r="W326" s="164">
        <v>0</v>
      </c>
      <c r="X326" s="164">
        <v>0</v>
      </c>
      <c r="Y326" s="164">
        <v>0</v>
      </c>
      <c r="Z326" s="164">
        <v>0</v>
      </c>
      <c r="AA326" s="164">
        <v>0</v>
      </c>
      <c r="AB326" s="164">
        <v>0</v>
      </c>
      <c r="AC326" s="164">
        <v>0</v>
      </c>
    </row>
    <row r="327" spans="1:29" s="165" customFormat="1" ht="15" customHeight="1" x14ac:dyDescent="0.3">
      <c r="A327" s="71" t="s">
        <v>1047</v>
      </c>
      <c r="B327" s="71" t="s">
        <v>1048</v>
      </c>
      <c r="C327" s="113" t="s">
        <v>69</v>
      </c>
      <c r="D327" s="71" t="s">
        <v>1049</v>
      </c>
      <c r="E327" s="113" t="s">
        <v>69</v>
      </c>
      <c r="F327" s="71" t="s">
        <v>71</v>
      </c>
      <c r="G327" s="67">
        <v>21101</v>
      </c>
      <c r="H327" s="71" t="s">
        <v>211</v>
      </c>
      <c r="I327" s="71" t="s">
        <v>526</v>
      </c>
      <c r="J327" s="71" t="s">
        <v>527</v>
      </c>
      <c r="K327" s="67" t="s">
        <v>1059</v>
      </c>
      <c r="L327" s="67" t="s">
        <v>1059</v>
      </c>
      <c r="M327" s="67" t="s">
        <v>383</v>
      </c>
      <c r="N327" s="67">
        <v>20</v>
      </c>
      <c r="O327" s="163">
        <v>26.68</v>
      </c>
      <c r="P327" s="71" t="s">
        <v>380</v>
      </c>
      <c r="Q327" s="164">
        <f t="shared" si="17"/>
        <v>533.6</v>
      </c>
      <c r="R327" s="164">
        <v>0</v>
      </c>
      <c r="S327" s="164">
        <v>0</v>
      </c>
      <c r="T327" s="164">
        <v>533.6</v>
      </c>
      <c r="U327" s="164">
        <v>0</v>
      </c>
      <c r="V327" s="164">
        <v>0</v>
      </c>
      <c r="W327" s="164">
        <v>0</v>
      </c>
      <c r="X327" s="164">
        <v>0</v>
      </c>
      <c r="Y327" s="164">
        <v>0</v>
      </c>
      <c r="Z327" s="164">
        <v>0</v>
      </c>
      <c r="AA327" s="164">
        <v>0</v>
      </c>
      <c r="AB327" s="164">
        <v>0</v>
      </c>
      <c r="AC327" s="164">
        <v>0</v>
      </c>
    </row>
    <row r="328" spans="1:29" s="165" customFormat="1" ht="15" customHeight="1" x14ac:dyDescent="0.3">
      <c r="A328" s="71" t="s">
        <v>1047</v>
      </c>
      <c r="B328" s="71" t="s">
        <v>1048</v>
      </c>
      <c r="C328" s="113" t="s">
        <v>69</v>
      </c>
      <c r="D328" s="71" t="s">
        <v>1049</v>
      </c>
      <c r="E328" s="113" t="s">
        <v>69</v>
      </c>
      <c r="F328" s="71" t="s">
        <v>71</v>
      </c>
      <c r="G328" s="67">
        <v>21101</v>
      </c>
      <c r="H328" s="71" t="s">
        <v>211</v>
      </c>
      <c r="I328" s="71" t="s">
        <v>961</v>
      </c>
      <c r="J328" s="71" t="s">
        <v>1072</v>
      </c>
      <c r="K328" s="67" t="s">
        <v>1059</v>
      </c>
      <c r="L328" s="67" t="s">
        <v>1059</v>
      </c>
      <c r="M328" s="67" t="s">
        <v>55</v>
      </c>
      <c r="N328" s="67">
        <v>5</v>
      </c>
      <c r="O328" s="163">
        <v>12.29</v>
      </c>
      <c r="P328" s="71" t="s">
        <v>380</v>
      </c>
      <c r="Q328" s="164">
        <f t="shared" si="17"/>
        <v>61.48</v>
      </c>
      <c r="R328" s="164">
        <v>0</v>
      </c>
      <c r="S328" s="164">
        <v>0</v>
      </c>
      <c r="T328" s="164">
        <v>0</v>
      </c>
      <c r="U328" s="164">
        <v>61.48</v>
      </c>
      <c r="V328" s="164">
        <v>0</v>
      </c>
      <c r="W328" s="164">
        <v>0</v>
      </c>
      <c r="X328" s="164">
        <v>0</v>
      </c>
      <c r="Y328" s="164">
        <v>0</v>
      </c>
      <c r="Z328" s="164">
        <v>0</v>
      </c>
      <c r="AA328" s="164">
        <v>0</v>
      </c>
      <c r="AB328" s="164">
        <v>0</v>
      </c>
      <c r="AC328" s="164">
        <v>0</v>
      </c>
    </row>
    <row r="329" spans="1:29" s="165" customFormat="1" ht="15" customHeight="1" x14ac:dyDescent="0.3">
      <c r="A329" s="71" t="s">
        <v>1047</v>
      </c>
      <c r="B329" s="71" t="s">
        <v>1048</v>
      </c>
      <c r="C329" s="113" t="s">
        <v>69</v>
      </c>
      <c r="D329" s="71" t="s">
        <v>1049</v>
      </c>
      <c r="E329" s="113" t="s">
        <v>69</v>
      </c>
      <c r="F329" s="71" t="s">
        <v>71</v>
      </c>
      <c r="G329" s="67">
        <v>21101</v>
      </c>
      <c r="H329" s="71" t="s">
        <v>211</v>
      </c>
      <c r="I329" s="71" t="s">
        <v>1073</v>
      </c>
      <c r="J329" s="71" t="s">
        <v>1074</v>
      </c>
      <c r="K329" s="67" t="s">
        <v>1059</v>
      </c>
      <c r="L329" s="67" t="s">
        <v>1059</v>
      </c>
      <c r="M329" s="67" t="s">
        <v>383</v>
      </c>
      <c r="N329" s="67">
        <v>40</v>
      </c>
      <c r="O329" s="163">
        <v>27.58</v>
      </c>
      <c r="P329" s="71" t="s">
        <v>380</v>
      </c>
      <c r="Q329" s="164">
        <f t="shared" si="17"/>
        <v>1103.2</v>
      </c>
      <c r="R329" s="164">
        <v>0</v>
      </c>
      <c r="S329" s="164">
        <v>1103.2</v>
      </c>
      <c r="T329" s="164">
        <v>0</v>
      </c>
      <c r="U329" s="164">
        <v>0</v>
      </c>
      <c r="V329" s="164">
        <v>0</v>
      </c>
      <c r="W329" s="164">
        <v>0</v>
      </c>
      <c r="X329" s="164">
        <v>0</v>
      </c>
      <c r="Y329" s="164">
        <v>0</v>
      </c>
      <c r="Z329" s="164">
        <v>0</v>
      </c>
      <c r="AA329" s="164">
        <v>0</v>
      </c>
      <c r="AB329" s="164">
        <v>0</v>
      </c>
      <c r="AC329" s="164">
        <v>0</v>
      </c>
    </row>
    <row r="330" spans="1:29" s="165" customFormat="1" ht="15" customHeight="1" x14ac:dyDescent="0.3">
      <c r="A330" s="71" t="s">
        <v>1047</v>
      </c>
      <c r="B330" s="71" t="s">
        <v>1048</v>
      </c>
      <c r="C330" s="113" t="s">
        <v>69</v>
      </c>
      <c r="D330" s="71" t="s">
        <v>1049</v>
      </c>
      <c r="E330" s="113" t="s">
        <v>69</v>
      </c>
      <c r="F330" s="71" t="s">
        <v>71</v>
      </c>
      <c r="G330" s="67">
        <v>21101</v>
      </c>
      <c r="H330" s="71" t="s">
        <v>211</v>
      </c>
      <c r="I330" s="71" t="s">
        <v>251</v>
      </c>
      <c r="J330" s="71" t="s">
        <v>39</v>
      </c>
      <c r="K330" s="67" t="s">
        <v>1059</v>
      </c>
      <c r="L330" s="67" t="s">
        <v>1059</v>
      </c>
      <c r="M330" s="67" t="s">
        <v>55</v>
      </c>
      <c r="N330" s="67">
        <v>20</v>
      </c>
      <c r="O330" s="163">
        <v>13.92</v>
      </c>
      <c r="P330" s="71" t="s">
        <v>380</v>
      </c>
      <c r="Q330" s="164">
        <f t="shared" si="17"/>
        <v>278.39999999999998</v>
      </c>
      <c r="R330" s="164">
        <v>0</v>
      </c>
      <c r="S330" s="164">
        <v>0</v>
      </c>
      <c r="T330" s="164">
        <v>278.39999999999998</v>
      </c>
      <c r="U330" s="164">
        <v>0</v>
      </c>
      <c r="V330" s="164">
        <v>0</v>
      </c>
      <c r="W330" s="164">
        <v>0</v>
      </c>
      <c r="X330" s="164">
        <v>0</v>
      </c>
      <c r="Y330" s="164">
        <v>0</v>
      </c>
      <c r="Z330" s="164">
        <v>0</v>
      </c>
      <c r="AA330" s="164">
        <v>0</v>
      </c>
      <c r="AB330" s="164">
        <v>0</v>
      </c>
      <c r="AC330" s="164">
        <v>0</v>
      </c>
    </row>
    <row r="331" spans="1:29" s="165" customFormat="1" ht="15" customHeight="1" x14ac:dyDescent="0.3">
      <c r="A331" s="71" t="s">
        <v>1047</v>
      </c>
      <c r="B331" s="71" t="s">
        <v>1048</v>
      </c>
      <c r="C331" s="113" t="s">
        <v>69</v>
      </c>
      <c r="D331" s="71" t="s">
        <v>1049</v>
      </c>
      <c r="E331" s="113" t="s">
        <v>69</v>
      </c>
      <c r="F331" s="71" t="s">
        <v>71</v>
      </c>
      <c r="G331" s="67">
        <v>21101</v>
      </c>
      <c r="H331" s="71" t="s">
        <v>211</v>
      </c>
      <c r="I331" s="71" t="s">
        <v>255</v>
      </c>
      <c r="J331" s="71" t="s">
        <v>40</v>
      </c>
      <c r="K331" s="67" t="s">
        <v>1059</v>
      </c>
      <c r="L331" s="67" t="s">
        <v>1059</v>
      </c>
      <c r="M331" s="67" t="s">
        <v>55</v>
      </c>
      <c r="N331" s="67">
        <v>5</v>
      </c>
      <c r="O331" s="163">
        <v>11.6</v>
      </c>
      <c r="P331" s="71" t="s">
        <v>380</v>
      </c>
      <c r="Q331" s="164">
        <f t="shared" si="17"/>
        <v>58</v>
      </c>
      <c r="R331" s="164">
        <v>0</v>
      </c>
      <c r="S331" s="164">
        <v>0</v>
      </c>
      <c r="T331" s="164">
        <v>0</v>
      </c>
      <c r="U331" s="164">
        <v>58</v>
      </c>
      <c r="V331" s="164">
        <v>0</v>
      </c>
      <c r="W331" s="164">
        <v>0</v>
      </c>
      <c r="X331" s="164">
        <v>0</v>
      </c>
      <c r="Y331" s="164">
        <v>0</v>
      </c>
      <c r="Z331" s="164">
        <v>0</v>
      </c>
      <c r="AA331" s="164">
        <v>0</v>
      </c>
      <c r="AB331" s="164">
        <v>0</v>
      </c>
      <c r="AC331" s="164">
        <v>0</v>
      </c>
    </row>
    <row r="332" spans="1:29" s="165" customFormat="1" ht="15" customHeight="1" x14ac:dyDescent="0.3">
      <c r="A332" s="71" t="s">
        <v>1047</v>
      </c>
      <c r="B332" s="71" t="s">
        <v>1048</v>
      </c>
      <c r="C332" s="113" t="s">
        <v>69</v>
      </c>
      <c r="D332" s="71" t="s">
        <v>1049</v>
      </c>
      <c r="E332" s="113" t="s">
        <v>69</v>
      </c>
      <c r="F332" s="71" t="s">
        <v>71</v>
      </c>
      <c r="G332" s="67">
        <v>21101</v>
      </c>
      <c r="H332" s="71" t="s">
        <v>211</v>
      </c>
      <c r="I332" s="71" t="s">
        <v>847</v>
      </c>
      <c r="J332" s="71" t="s">
        <v>848</v>
      </c>
      <c r="K332" s="67" t="s">
        <v>1059</v>
      </c>
      <c r="L332" s="67" t="s">
        <v>1059</v>
      </c>
      <c r="M332" s="67" t="s">
        <v>55</v>
      </c>
      <c r="N332" s="67">
        <v>10</v>
      </c>
      <c r="O332" s="163">
        <v>49.88</v>
      </c>
      <c r="P332" s="71" t="s">
        <v>380</v>
      </c>
      <c r="Q332" s="164">
        <f t="shared" si="17"/>
        <v>498.8</v>
      </c>
      <c r="R332" s="164">
        <v>0</v>
      </c>
      <c r="S332" s="164">
        <v>0</v>
      </c>
      <c r="T332" s="164">
        <v>0</v>
      </c>
      <c r="U332" s="164">
        <v>498.8</v>
      </c>
      <c r="V332" s="164">
        <v>0</v>
      </c>
      <c r="W332" s="164">
        <v>0</v>
      </c>
      <c r="X332" s="164">
        <v>0</v>
      </c>
      <c r="Y332" s="164">
        <v>0</v>
      </c>
      <c r="Z332" s="164">
        <v>0</v>
      </c>
      <c r="AA332" s="164">
        <v>0</v>
      </c>
      <c r="AB332" s="164">
        <v>0</v>
      </c>
      <c r="AC332" s="164">
        <v>0</v>
      </c>
    </row>
    <row r="333" spans="1:29" s="165" customFormat="1" ht="15" customHeight="1" x14ac:dyDescent="0.3">
      <c r="A333" s="71" t="s">
        <v>1047</v>
      </c>
      <c r="B333" s="71" t="s">
        <v>1048</v>
      </c>
      <c r="C333" s="113" t="s">
        <v>69</v>
      </c>
      <c r="D333" s="71" t="s">
        <v>1049</v>
      </c>
      <c r="E333" s="113" t="s">
        <v>69</v>
      </c>
      <c r="F333" s="71" t="s">
        <v>71</v>
      </c>
      <c r="G333" s="67">
        <v>21101</v>
      </c>
      <c r="H333" s="71" t="s">
        <v>211</v>
      </c>
      <c r="I333" s="71" t="s">
        <v>1013</v>
      </c>
      <c r="J333" s="71" t="s">
        <v>964</v>
      </c>
      <c r="K333" s="67" t="s">
        <v>1059</v>
      </c>
      <c r="L333" s="67" t="s">
        <v>1059</v>
      </c>
      <c r="M333" s="67" t="s">
        <v>55</v>
      </c>
      <c r="N333" s="67">
        <v>5</v>
      </c>
      <c r="O333" s="163">
        <v>47.56</v>
      </c>
      <c r="P333" s="71" t="s">
        <v>380</v>
      </c>
      <c r="Q333" s="164">
        <f t="shared" si="17"/>
        <v>237.8</v>
      </c>
      <c r="R333" s="164">
        <v>0</v>
      </c>
      <c r="S333" s="164">
        <v>0</v>
      </c>
      <c r="T333" s="164">
        <v>0</v>
      </c>
      <c r="U333" s="164">
        <v>237.8</v>
      </c>
      <c r="V333" s="164">
        <v>0</v>
      </c>
      <c r="W333" s="164">
        <v>0</v>
      </c>
      <c r="X333" s="164">
        <v>0</v>
      </c>
      <c r="Y333" s="164">
        <v>0</v>
      </c>
      <c r="Z333" s="164">
        <v>0</v>
      </c>
      <c r="AA333" s="164">
        <v>0</v>
      </c>
      <c r="AB333" s="164">
        <v>0</v>
      </c>
      <c r="AC333" s="164">
        <v>0</v>
      </c>
    </row>
    <row r="334" spans="1:29" s="165" customFormat="1" ht="15" customHeight="1" x14ac:dyDescent="0.3">
      <c r="A334" s="71" t="s">
        <v>1047</v>
      </c>
      <c r="B334" s="71" t="s">
        <v>1048</v>
      </c>
      <c r="C334" s="113" t="s">
        <v>69</v>
      </c>
      <c r="D334" s="71" t="s">
        <v>1049</v>
      </c>
      <c r="E334" s="113" t="s">
        <v>69</v>
      </c>
      <c r="F334" s="71" t="s">
        <v>71</v>
      </c>
      <c r="G334" s="67">
        <v>21101</v>
      </c>
      <c r="H334" s="71" t="s">
        <v>211</v>
      </c>
      <c r="I334" s="71" t="s">
        <v>835</v>
      </c>
      <c r="J334" s="71" t="s">
        <v>836</v>
      </c>
      <c r="K334" s="67" t="s">
        <v>1059</v>
      </c>
      <c r="L334" s="67" t="s">
        <v>1059</v>
      </c>
      <c r="M334" s="67" t="s">
        <v>383</v>
      </c>
      <c r="N334" s="67">
        <v>10</v>
      </c>
      <c r="O334" s="163">
        <v>42.92</v>
      </c>
      <c r="P334" s="71" t="s">
        <v>380</v>
      </c>
      <c r="Q334" s="164">
        <f t="shared" si="17"/>
        <v>429.2</v>
      </c>
      <c r="R334" s="164">
        <v>0</v>
      </c>
      <c r="S334" s="164">
        <v>429.2</v>
      </c>
      <c r="T334" s="164">
        <v>0</v>
      </c>
      <c r="U334" s="164">
        <v>0</v>
      </c>
      <c r="V334" s="164"/>
      <c r="W334" s="164">
        <v>0</v>
      </c>
      <c r="X334" s="164">
        <v>0</v>
      </c>
      <c r="Y334" s="164">
        <v>0</v>
      </c>
      <c r="Z334" s="164">
        <v>0</v>
      </c>
      <c r="AA334" s="164">
        <v>0</v>
      </c>
      <c r="AB334" s="164">
        <v>0</v>
      </c>
      <c r="AC334" s="164">
        <v>0</v>
      </c>
    </row>
    <row r="335" spans="1:29" s="165" customFormat="1" ht="15" customHeight="1" x14ac:dyDescent="0.3">
      <c r="A335" s="71" t="s">
        <v>1047</v>
      </c>
      <c r="B335" s="71" t="s">
        <v>1048</v>
      </c>
      <c r="C335" s="113" t="s">
        <v>69</v>
      </c>
      <c r="D335" s="71" t="s">
        <v>1049</v>
      </c>
      <c r="E335" s="113" t="s">
        <v>69</v>
      </c>
      <c r="F335" s="71" t="s">
        <v>71</v>
      </c>
      <c r="G335" s="67">
        <v>21101</v>
      </c>
      <c r="H335" s="71" t="s">
        <v>211</v>
      </c>
      <c r="I335" s="71" t="s">
        <v>283</v>
      </c>
      <c r="J335" s="71" t="s">
        <v>36</v>
      </c>
      <c r="K335" s="67" t="s">
        <v>1059</v>
      </c>
      <c r="L335" s="67" t="s">
        <v>1059</v>
      </c>
      <c r="M335" s="67" t="s">
        <v>383</v>
      </c>
      <c r="N335" s="67">
        <v>10</v>
      </c>
      <c r="O335" s="163">
        <v>45.93</v>
      </c>
      <c r="P335" s="71" t="s">
        <v>380</v>
      </c>
      <c r="Q335" s="164">
        <f t="shared" si="17"/>
        <v>459.36</v>
      </c>
      <c r="R335" s="164">
        <v>0</v>
      </c>
      <c r="S335" s="164">
        <v>0</v>
      </c>
      <c r="T335" s="164">
        <v>459.36</v>
      </c>
      <c r="U335" s="164">
        <v>0</v>
      </c>
      <c r="V335" s="164">
        <v>0</v>
      </c>
      <c r="W335" s="164">
        <v>0</v>
      </c>
      <c r="X335" s="164">
        <v>0</v>
      </c>
      <c r="Y335" s="164">
        <v>0</v>
      </c>
      <c r="Z335" s="164">
        <v>0</v>
      </c>
      <c r="AA335" s="164">
        <v>0</v>
      </c>
      <c r="AB335" s="164">
        <v>0</v>
      </c>
      <c r="AC335" s="164">
        <v>0</v>
      </c>
    </row>
    <row r="336" spans="1:29" s="165" customFormat="1" ht="15" customHeight="1" x14ac:dyDescent="0.3">
      <c r="A336" s="71" t="s">
        <v>1047</v>
      </c>
      <c r="B336" s="71" t="s">
        <v>1048</v>
      </c>
      <c r="C336" s="113" t="s">
        <v>69</v>
      </c>
      <c r="D336" s="71" t="s">
        <v>1049</v>
      </c>
      <c r="E336" s="113" t="s">
        <v>69</v>
      </c>
      <c r="F336" s="71" t="s">
        <v>71</v>
      </c>
      <c r="G336" s="67">
        <v>21101</v>
      </c>
      <c r="H336" s="71" t="s">
        <v>211</v>
      </c>
      <c r="I336" s="71" t="s">
        <v>386</v>
      </c>
      <c r="J336" s="71" t="s">
        <v>387</v>
      </c>
      <c r="K336" s="67" t="s">
        <v>1059</v>
      </c>
      <c r="L336" s="67" t="s">
        <v>1059</v>
      </c>
      <c r="M336" s="67" t="s">
        <v>383</v>
      </c>
      <c r="N336" s="67">
        <v>20</v>
      </c>
      <c r="O336" s="163">
        <v>26.68</v>
      </c>
      <c r="P336" s="71" t="s">
        <v>380</v>
      </c>
      <c r="Q336" s="164">
        <f t="shared" si="17"/>
        <v>533.6</v>
      </c>
      <c r="R336" s="164">
        <v>0</v>
      </c>
      <c r="S336" s="164">
        <v>0</v>
      </c>
      <c r="T336" s="164">
        <v>0</v>
      </c>
      <c r="U336" s="164">
        <v>533.6</v>
      </c>
      <c r="V336" s="164">
        <v>0</v>
      </c>
      <c r="W336" s="164">
        <v>0</v>
      </c>
      <c r="X336" s="164">
        <v>0</v>
      </c>
      <c r="Y336" s="164">
        <v>0</v>
      </c>
      <c r="Z336" s="164">
        <v>0</v>
      </c>
      <c r="AA336" s="164">
        <v>0</v>
      </c>
      <c r="AB336" s="164">
        <v>0</v>
      </c>
      <c r="AC336" s="164">
        <v>0</v>
      </c>
    </row>
    <row r="337" spans="1:29" s="165" customFormat="1" ht="15" customHeight="1" x14ac:dyDescent="0.3">
      <c r="A337" s="71" t="s">
        <v>1047</v>
      </c>
      <c r="B337" s="71" t="s">
        <v>1048</v>
      </c>
      <c r="C337" s="113" t="s">
        <v>69</v>
      </c>
      <c r="D337" s="71" t="s">
        <v>1049</v>
      </c>
      <c r="E337" s="113" t="s">
        <v>69</v>
      </c>
      <c r="F337" s="71" t="s">
        <v>71</v>
      </c>
      <c r="G337" s="67">
        <v>21101</v>
      </c>
      <c r="H337" s="71" t="s">
        <v>211</v>
      </c>
      <c r="I337" s="71" t="s">
        <v>264</v>
      </c>
      <c r="J337" s="71" t="s">
        <v>37</v>
      </c>
      <c r="K337" s="67" t="s">
        <v>1059</v>
      </c>
      <c r="L337" s="67" t="s">
        <v>1059</v>
      </c>
      <c r="M337" s="67" t="s">
        <v>383</v>
      </c>
      <c r="N337" s="67">
        <v>20</v>
      </c>
      <c r="O337" s="163">
        <v>26.68</v>
      </c>
      <c r="P337" s="71" t="s">
        <v>380</v>
      </c>
      <c r="Q337" s="164">
        <f t="shared" si="17"/>
        <v>1373.6</v>
      </c>
      <c r="R337" s="164">
        <v>0</v>
      </c>
      <c r="S337" s="164">
        <v>0</v>
      </c>
      <c r="T337" s="164">
        <v>533.6</v>
      </c>
      <c r="U337" s="164">
        <v>840</v>
      </c>
      <c r="V337" s="164">
        <v>0</v>
      </c>
      <c r="W337" s="164">
        <v>0</v>
      </c>
      <c r="X337" s="164">
        <v>0</v>
      </c>
      <c r="Y337" s="164">
        <v>0</v>
      </c>
      <c r="Z337" s="164">
        <v>0</v>
      </c>
      <c r="AA337" s="164">
        <v>0</v>
      </c>
      <c r="AB337" s="164">
        <v>0</v>
      </c>
      <c r="AC337" s="164">
        <v>0</v>
      </c>
    </row>
    <row r="338" spans="1:29" s="165" customFormat="1" ht="15" customHeight="1" x14ac:dyDescent="0.3">
      <c r="A338" s="71" t="s">
        <v>1047</v>
      </c>
      <c r="B338" s="71" t="s">
        <v>1048</v>
      </c>
      <c r="C338" s="113" t="s">
        <v>69</v>
      </c>
      <c r="D338" s="71" t="s">
        <v>1049</v>
      </c>
      <c r="E338" s="113" t="s">
        <v>69</v>
      </c>
      <c r="F338" s="71" t="s">
        <v>71</v>
      </c>
      <c r="G338" s="67">
        <v>21101</v>
      </c>
      <c r="H338" s="71" t="s">
        <v>211</v>
      </c>
      <c r="I338" s="71" t="s">
        <v>851</v>
      </c>
      <c r="J338" s="71" t="s">
        <v>852</v>
      </c>
      <c r="K338" s="67" t="s">
        <v>1059</v>
      </c>
      <c r="L338" s="67" t="s">
        <v>1059</v>
      </c>
      <c r="M338" s="67" t="s">
        <v>383</v>
      </c>
      <c r="N338" s="67">
        <v>6</v>
      </c>
      <c r="O338" s="163">
        <v>10.44</v>
      </c>
      <c r="P338" s="71" t="s">
        <v>380</v>
      </c>
      <c r="Q338" s="164">
        <f t="shared" si="17"/>
        <v>62.64</v>
      </c>
      <c r="R338" s="164">
        <v>0</v>
      </c>
      <c r="S338" s="164">
        <v>0</v>
      </c>
      <c r="T338" s="164">
        <v>0</v>
      </c>
      <c r="U338" s="164">
        <v>62.64</v>
      </c>
      <c r="V338" s="164">
        <v>0</v>
      </c>
      <c r="W338" s="164">
        <v>0</v>
      </c>
      <c r="X338" s="164">
        <v>0</v>
      </c>
      <c r="Y338" s="164">
        <v>0</v>
      </c>
      <c r="Z338" s="164">
        <v>0</v>
      </c>
      <c r="AA338" s="164">
        <v>0</v>
      </c>
      <c r="AB338" s="164">
        <v>0</v>
      </c>
      <c r="AC338" s="164">
        <v>0</v>
      </c>
    </row>
    <row r="339" spans="1:29" s="165" customFormat="1" ht="15" customHeight="1" x14ac:dyDescent="0.3">
      <c r="A339" s="71" t="s">
        <v>1047</v>
      </c>
      <c r="B339" s="71" t="s">
        <v>1048</v>
      </c>
      <c r="C339" s="113" t="s">
        <v>69</v>
      </c>
      <c r="D339" s="71" t="s">
        <v>1049</v>
      </c>
      <c r="E339" s="113" t="s">
        <v>69</v>
      </c>
      <c r="F339" s="71" t="s">
        <v>71</v>
      </c>
      <c r="G339" s="67">
        <v>21101</v>
      </c>
      <c r="H339" s="71" t="s">
        <v>211</v>
      </c>
      <c r="I339" s="71" t="s">
        <v>323</v>
      </c>
      <c r="J339" s="71" t="s">
        <v>85</v>
      </c>
      <c r="K339" s="67" t="s">
        <v>1059</v>
      </c>
      <c r="L339" s="67" t="s">
        <v>1059</v>
      </c>
      <c r="M339" s="67" t="s">
        <v>1075</v>
      </c>
      <c r="N339" s="67">
        <v>20</v>
      </c>
      <c r="O339" s="163">
        <v>36.46</v>
      </c>
      <c r="P339" s="71" t="s">
        <v>380</v>
      </c>
      <c r="Q339" s="164">
        <f t="shared" si="17"/>
        <v>729.2</v>
      </c>
      <c r="R339" s="164">
        <v>0</v>
      </c>
      <c r="S339" s="164">
        <v>0</v>
      </c>
      <c r="T339" s="164">
        <v>0</v>
      </c>
      <c r="U339" s="164">
        <v>0</v>
      </c>
      <c r="V339" s="164">
        <v>729.2</v>
      </c>
      <c r="W339" s="164">
        <v>0</v>
      </c>
      <c r="X339" s="164">
        <v>0</v>
      </c>
      <c r="Y339" s="164">
        <v>0</v>
      </c>
      <c r="Z339" s="164">
        <v>0</v>
      </c>
      <c r="AA339" s="164">
        <v>0</v>
      </c>
      <c r="AB339" s="164">
        <v>0</v>
      </c>
      <c r="AC339" s="164">
        <v>0</v>
      </c>
    </row>
    <row r="340" spans="1:29" s="165" customFormat="1" ht="15" customHeight="1" x14ac:dyDescent="0.3">
      <c r="A340" s="71" t="s">
        <v>1047</v>
      </c>
      <c r="B340" s="71" t="s">
        <v>1048</v>
      </c>
      <c r="C340" s="113" t="s">
        <v>69</v>
      </c>
      <c r="D340" s="71" t="s">
        <v>1049</v>
      </c>
      <c r="E340" s="113" t="s">
        <v>69</v>
      </c>
      <c r="F340" s="71" t="s">
        <v>71</v>
      </c>
      <c r="G340" s="67">
        <v>21101</v>
      </c>
      <c r="H340" s="71" t="s">
        <v>211</v>
      </c>
      <c r="I340" s="71" t="s">
        <v>279</v>
      </c>
      <c r="J340" s="71" t="s">
        <v>528</v>
      </c>
      <c r="K340" s="67" t="s">
        <v>1059</v>
      </c>
      <c r="L340" s="67" t="s">
        <v>1059</v>
      </c>
      <c r="M340" s="67" t="s">
        <v>383</v>
      </c>
      <c r="N340" s="67">
        <v>45</v>
      </c>
      <c r="O340" s="163">
        <v>60.32</v>
      </c>
      <c r="P340" s="71" t="s">
        <v>380</v>
      </c>
      <c r="Q340" s="164">
        <f t="shared" si="17"/>
        <v>2714.4</v>
      </c>
      <c r="R340" s="164">
        <v>0</v>
      </c>
      <c r="S340" s="164">
        <v>0</v>
      </c>
      <c r="T340" s="164">
        <v>0</v>
      </c>
      <c r="U340" s="164">
        <v>2714.4</v>
      </c>
      <c r="V340" s="164">
        <v>0</v>
      </c>
      <c r="W340" s="164">
        <v>0</v>
      </c>
      <c r="X340" s="164">
        <v>0</v>
      </c>
      <c r="Y340" s="164">
        <v>0</v>
      </c>
      <c r="Z340" s="164">
        <v>0</v>
      </c>
      <c r="AA340" s="164">
        <v>0</v>
      </c>
      <c r="AB340" s="164">
        <v>0</v>
      </c>
      <c r="AC340" s="164">
        <v>0</v>
      </c>
    </row>
    <row r="341" spans="1:29" s="165" customFormat="1" ht="15" customHeight="1" x14ac:dyDescent="0.3">
      <c r="A341" s="71" t="s">
        <v>1047</v>
      </c>
      <c r="B341" s="71" t="s">
        <v>1048</v>
      </c>
      <c r="C341" s="113" t="s">
        <v>69</v>
      </c>
      <c r="D341" s="71" t="s">
        <v>1049</v>
      </c>
      <c r="E341" s="113" t="s">
        <v>69</v>
      </c>
      <c r="F341" s="71" t="s">
        <v>71</v>
      </c>
      <c r="G341" s="67">
        <v>21101</v>
      </c>
      <c r="H341" s="71" t="s">
        <v>211</v>
      </c>
      <c r="I341" s="71" t="s">
        <v>514</v>
      </c>
      <c r="J341" s="71" t="s">
        <v>577</v>
      </c>
      <c r="K341" s="67" t="s">
        <v>1059</v>
      </c>
      <c r="L341" s="67" t="s">
        <v>1059</v>
      </c>
      <c r="M341" s="67" t="s">
        <v>55</v>
      </c>
      <c r="N341" s="67">
        <v>5</v>
      </c>
      <c r="O341" s="163">
        <v>8.1999999999999993</v>
      </c>
      <c r="P341" s="71" t="s">
        <v>380</v>
      </c>
      <c r="Q341" s="164">
        <f t="shared" si="17"/>
        <v>41</v>
      </c>
      <c r="R341" s="164">
        <v>0</v>
      </c>
      <c r="S341" s="164">
        <v>0</v>
      </c>
      <c r="T341" s="164">
        <v>0</v>
      </c>
      <c r="U341" s="164">
        <v>41</v>
      </c>
      <c r="V341" s="164">
        <v>0</v>
      </c>
      <c r="W341" s="164">
        <v>0</v>
      </c>
      <c r="X341" s="164">
        <v>0</v>
      </c>
      <c r="Y341" s="164">
        <v>0</v>
      </c>
      <c r="Z341" s="164">
        <v>0</v>
      </c>
      <c r="AA341" s="164">
        <v>0</v>
      </c>
      <c r="AB341" s="164">
        <v>0</v>
      </c>
      <c r="AC341" s="164">
        <v>0</v>
      </c>
    </row>
    <row r="342" spans="1:29" s="165" customFormat="1" ht="15" customHeight="1" x14ac:dyDescent="0.3">
      <c r="A342" s="71" t="s">
        <v>1047</v>
      </c>
      <c r="B342" s="71" t="s">
        <v>1048</v>
      </c>
      <c r="C342" s="113" t="s">
        <v>69</v>
      </c>
      <c r="D342" s="71" t="s">
        <v>1049</v>
      </c>
      <c r="E342" s="113" t="s">
        <v>69</v>
      </c>
      <c r="F342" s="71" t="s">
        <v>71</v>
      </c>
      <c r="G342" s="67">
        <v>21101</v>
      </c>
      <c r="H342" s="71" t="s">
        <v>211</v>
      </c>
      <c r="I342" s="71" t="s">
        <v>290</v>
      </c>
      <c r="J342" s="71" t="s">
        <v>120</v>
      </c>
      <c r="K342" s="67" t="s">
        <v>1059</v>
      </c>
      <c r="L342" s="67" t="s">
        <v>1059</v>
      </c>
      <c r="M342" s="67" t="s">
        <v>383</v>
      </c>
      <c r="N342" s="67">
        <v>10</v>
      </c>
      <c r="O342" s="163">
        <v>80.040000000000006</v>
      </c>
      <c r="P342" s="71" t="s">
        <v>380</v>
      </c>
      <c r="Q342" s="164">
        <f t="shared" si="17"/>
        <v>400</v>
      </c>
      <c r="R342" s="164">
        <v>0</v>
      </c>
      <c r="S342" s="164">
        <v>0</v>
      </c>
      <c r="T342" s="164">
        <v>0</v>
      </c>
      <c r="U342" s="164">
        <v>400</v>
      </c>
      <c r="V342" s="164">
        <v>0</v>
      </c>
      <c r="W342" s="164">
        <v>0</v>
      </c>
      <c r="X342" s="164">
        <v>0</v>
      </c>
      <c r="Y342" s="164">
        <v>0</v>
      </c>
      <c r="Z342" s="164">
        <v>0</v>
      </c>
      <c r="AA342" s="164">
        <v>0</v>
      </c>
      <c r="AB342" s="164">
        <v>0</v>
      </c>
      <c r="AC342" s="164">
        <v>0</v>
      </c>
    </row>
    <row r="343" spans="1:29" s="165" customFormat="1" ht="15" customHeight="1" x14ac:dyDescent="0.3">
      <c r="A343" s="71" t="s">
        <v>1047</v>
      </c>
      <c r="B343" s="71" t="s">
        <v>1048</v>
      </c>
      <c r="C343" s="113" t="s">
        <v>69</v>
      </c>
      <c r="D343" s="71" t="s">
        <v>1049</v>
      </c>
      <c r="E343" s="113" t="s">
        <v>69</v>
      </c>
      <c r="F343" s="71" t="s">
        <v>71</v>
      </c>
      <c r="G343" s="67">
        <v>21101</v>
      </c>
      <c r="H343" s="71" t="s">
        <v>211</v>
      </c>
      <c r="I343" s="71" t="s">
        <v>293</v>
      </c>
      <c r="J343" s="71" t="s">
        <v>122</v>
      </c>
      <c r="K343" s="67" t="s">
        <v>1059</v>
      </c>
      <c r="L343" s="67" t="s">
        <v>1059</v>
      </c>
      <c r="M343" s="67" t="s">
        <v>383</v>
      </c>
      <c r="N343" s="67">
        <v>5</v>
      </c>
      <c r="O343" s="163">
        <v>35.96</v>
      </c>
      <c r="P343" s="71" t="s">
        <v>380</v>
      </c>
      <c r="Q343" s="164">
        <f t="shared" si="17"/>
        <v>179.8</v>
      </c>
      <c r="R343" s="164">
        <v>0</v>
      </c>
      <c r="S343" s="164">
        <v>0</v>
      </c>
      <c r="T343" s="164">
        <v>0</v>
      </c>
      <c r="U343" s="164">
        <v>179.8</v>
      </c>
      <c r="V343" s="164">
        <v>0</v>
      </c>
      <c r="W343" s="164">
        <v>0</v>
      </c>
      <c r="X343" s="164">
        <v>0</v>
      </c>
      <c r="Y343" s="164">
        <v>0</v>
      </c>
      <c r="Z343" s="164">
        <v>0</v>
      </c>
      <c r="AA343" s="164">
        <v>0</v>
      </c>
      <c r="AB343" s="164">
        <v>0</v>
      </c>
      <c r="AC343" s="164">
        <v>0</v>
      </c>
    </row>
    <row r="344" spans="1:29" s="165" customFormat="1" ht="15" customHeight="1" x14ac:dyDescent="0.3">
      <c r="A344" s="71" t="s">
        <v>1047</v>
      </c>
      <c r="B344" s="71" t="s">
        <v>1048</v>
      </c>
      <c r="C344" s="113" t="s">
        <v>69</v>
      </c>
      <c r="D344" s="71" t="s">
        <v>1049</v>
      </c>
      <c r="E344" s="113" t="s">
        <v>69</v>
      </c>
      <c r="F344" s="71" t="s">
        <v>71</v>
      </c>
      <c r="G344" s="67">
        <v>21101</v>
      </c>
      <c r="H344" s="71" t="s">
        <v>211</v>
      </c>
      <c r="I344" s="71" t="s">
        <v>271</v>
      </c>
      <c r="J344" s="71" t="s">
        <v>84</v>
      </c>
      <c r="K344" s="67" t="s">
        <v>1059</v>
      </c>
      <c r="L344" s="67" t="s">
        <v>1059</v>
      </c>
      <c r="M344" s="67" t="s">
        <v>383</v>
      </c>
      <c r="N344" s="67">
        <v>5</v>
      </c>
      <c r="O344" s="163">
        <v>80.040000000000006</v>
      </c>
      <c r="P344" s="71" t="s">
        <v>380</v>
      </c>
      <c r="Q344" s="164">
        <f t="shared" si="17"/>
        <v>179.8</v>
      </c>
      <c r="R344" s="164">
        <v>0</v>
      </c>
      <c r="S344" s="164">
        <v>0</v>
      </c>
      <c r="T344" s="164">
        <v>0</v>
      </c>
      <c r="U344" s="164">
        <v>179.8</v>
      </c>
      <c r="V344" s="164">
        <v>0</v>
      </c>
      <c r="W344" s="164">
        <v>0</v>
      </c>
      <c r="X344" s="164">
        <v>0</v>
      </c>
      <c r="Y344" s="164">
        <v>0</v>
      </c>
      <c r="Z344" s="164">
        <v>0</v>
      </c>
      <c r="AA344" s="164">
        <v>0</v>
      </c>
      <c r="AB344" s="164">
        <v>0</v>
      </c>
      <c r="AC344" s="164">
        <v>0</v>
      </c>
    </row>
    <row r="345" spans="1:29" s="165" customFormat="1" ht="15" customHeight="1" x14ac:dyDescent="0.3">
      <c r="A345" s="71" t="s">
        <v>1047</v>
      </c>
      <c r="B345" s="71" t="s">
        <v>1048</v>
      </c>
      <c r="C345" s="113" t="s">
        <v>69</v>
      </c>
      <c r="D345" s="71" t="s">
        <v>1049</v>
      </c>
      <c r="E345" s="113" t="s">
        <v>69</v>
      </c>
      <c r="F345" s="71" t="s">
        <v>71</v>
      </c>
      <c r="G345" s="67">
        <v>21101</v>
      </c>
      <c r="H345" s="71" t="s">
        <v>211</v>
      </c>
      <c r="I345" s="71" t="s">
        <v>281</v>
      </c>
      <c r="J345" s="71" t="s">
        <v>114</v>
      </c>
      <c r="K345" s="67" t="s">
        <v>1059</v>
      </c>
      <c r="L345" s="67" t="s">
        <v>1059</v>
      </c>
      <c r="M345" s="67" t="s">
        <v>383</v>
      </c>
      <c r="N345" s="67">
        <v>10</v>
      </c>
      <c r="O345" s="163">
        <v>26.6</v>
      </c>
      <c r="P345" s="71" t="s">
        <v>380</v>
      </c>
      <c r="Q345" s="164">
        <f t="shared" si="17"/>
        <v>266.8</v>
      </c>
      <c r="R345" s="164">
        <v>0</v>
      </c>
      <c r="S345" s="164">
        <v>0</v>
      </c>
      <c r="T345" s="164">
        <v>0</v>
      </c>
      <c r="U345" s="164">
        <v>0</v>
      </c>
      <c r="V345" s="164">
        <v>266.8</v>
      </c>
      <c r="W345" s="164">
        <v>0</v>
      </c>
      <c r="X345" s="164">
        <v>0</v>
      </c>
      <c r="Y345" s="164">
        <v>0</v>
      </c>
      <c r="Z345" s="164">
        <v>0</v>
      </c>
      <c r="AA345" s="164">
        <v>0</v>
      </c>
      <c r="AB345" s="164">
        <v>0</v>
      </c>
      <c r="AC345" s="164">
        <v>0</v>
      </c>
    </row>
    <row r="346" spans="1:29" s="165" customFormat="1" ht="15" customHeight="1" x14ac:dyDescent="0.3">
      <c r="A346" s="71" t="s">
        <v>1047</v>
      </c>
      <c r="B346" s="71" t="s">
        <v>1048</v>
      </c>
      <c r="C346" s="113" t="s">
        <v>69</v>
      </c>
      <c r="D346" s="71" t="s">
        <v>1049</v>
      </c>
      <c r="E346" s="113" t="s">
        <v>69</v>
      </c>
      <c r="F346" s="71" t="s">
        <v>71</v>
      </c>
      <c r="G346" s="67">
        <v>21101</v>
      </c>
      <c r="H346" s="71" t="s">
        <v>211</v>
      </c>
      <c r="I346" s="71" t="s">
        <v>256</v>
      </c>
      <c r="J346" s="71" t="s">
        <v>82</v>
      </c>
      <c r="K346" s="67" t="s">
        <v>1059</v>
      </c>
      <c r="L346" s="67" t="s">
        <v>1059</v>
      </c>
      <c r="M346" s="67" t="s">
        <v>383</v>
      </c>
      <c r="N346" s="67">
        <v>15</v>
      </c>
      <c r="O346" s="163">
        <v>26.68</v>
      </c>
      <c r="P346" s="71" t="s">
        <v>380</v>
      </c>
      <c r="Q346" s="164">
        <f t="shared" si="17"/>
        <v>400.2</v>
      </c>
      <c r="R346" s="164">
        <v>0</v>
      </c>
      <c r="S346" s="164">
        <v>0</v>
      </c>
      <c r="T346" s="164">
        <v>0</v>
      </c>
      <c r="U346" s="164">
        <v>0</v>
      </c>
      <c r="V346" s="164">
        <v>400.2</v>
      </c>
      <c r="W346" s="164">
        <v>0</v>
      </c>
      <c r="X346" s="164">
        <v>0</v>
      </c>
      <c r="Y346" s="164">
        <v>0</v>
      </c>
      <c r="Z346" s="164">
        <v>0</v>
      </c>
      <c r="AA346" s="164">
        <v>0</v>
      </c>
      <c r="AB346" s="164">
        <v>0</v>
      </c>
      <c r="AC346" s="164">
        <v>0</v>
      </c>
    </row>
    <row r="347" spans="1:29" s="165" customFormat="1" ht="15" customHeight="1" x14ac:dyDescent="0.3">
      <c r="A347" s="71" t="s">
        <v>1047</v>
      </c>
      <c r="B347" s="71" t="s">
        <v>1048</v>
      </c>
      <c r="C347" s="113" t="s">
        <v>69</v>
      </c>
      <c r="D347" s="71" t="s">
        <v>1049</v>
      </c>
      <c r="E347" s="113" t="s">
        <v>69</v>
      </c>
      <c r="F347" s="71" t="s">
        <v>71</v>
      </c>
      <c r="G347" s="67">
        <v>21101</v>
      </c>
      <c r="H347" s="71" t="s">
        <v>211</v>
      </c>
      <c r="I347" s="71" t="s">
        <v>464</v>
      </c>
      <c r="J347" s="71" t="s">
        <v>965</v>
      </c>
      <c r="K347" s="67" t="s">
        <v>1059</v>
      </c>
      <c r="L347" s="67" t="s">
        <v>1059</v>
      </c>
      <c r="M347" s="67" t="s">
        <v>57</v>
      </c>
      <c r="N347" s="67">
        <v>5</v>
      </c>
      <c r="O347" s="163">
        <v>26.68</v>
      </c>
      <c r="P347" s="71" t="s">
        <v>380</v>
      </c>
      <c r="Q347" s="164">
        <f t="shared" si="17"/>
        <v>133.4</v>
      </c>
      <c r="R347" s="164">
        <v>0</v>
      </c>
      <c r="S347" s="164">
        <v>0</v>
      </c>
      <c r="T347" s="164">
        <v>0</v>
      </c>
      <c r="U347" s="164">
        <v>0</v>
      </c>
      <c r="V347" s="164">
        <v>133.4</v>
      </c>
      <c r="W347" s="164">
        <v>0</v>
      </c>
      <c r="X347" s="164">
        <v>0</v>
      </c>
      <c r="Y347" s="164">
        <v>0</v>
      </c>
      <c r="Z347" s="164">
        <v>0</v>
      </c>
      <c r="AA347" s="164">
        <v>0</v>
      </c>
      <c r="AB347" s="164">
        <v>0</v>
      </c>
      <c r="AC347" s="164">
        <v>0</v>
      </c>
    </row>
    <row r="348" spans="1:29" s="165" customFormat="1" ht="15" customHeight="1" x14ac:dyDescent="0.3">
      <c r="A348" s="71" t="s">
        <v>1047</v>
      </c>
      <c r="B348" s="71" t="s">
        <v>1048</v>
      </c>
      <c r="C348" s="113" t="s">
        <v>69</v>
      </c>
      <c r="D348" s="71" t="s">
        <v>1049</v>
      </c>
      <c r="E348" s="113" t="s">
        <v>69</v>
      </c>
      <c r="F348" s="71" t="s">
        <v>71</v>
      </c>
      <c r="G348" s="67">
        <v>21101</v>
      </c>
      <c r="H348" s="71" t="s">
        <v>211</v>
      </c>
      <c r="I348" s="71" t="s">
        <v>853</v>
      </c>
      <c r="J348" s="71" t="s">
        <v>854</v>
      </c>
      <c r="K348" s="67" t="s">
        <v>1059</v>
      </c>
      <c r="L348" s="67" t="s">
        <v>1059</v>
      </c>
      <c r="M348" s="67" t="s">
        <v>383</v>
      </c>
      <c r="N348" s="67">
        <v>8</v>
      </c>
      <c r="O348" s="163">
        <v>46.4</v>
      </c>
      <c r="P348" s="71" t="s">
        <v>380</v>
      </c>
      <c r="Q348" s="164">
        <f t="shared" si="17"/>
        <v>371.2</v>
      </c>
      <c r="R348" s="164">
        <v>0</v>
      </c>
      <c r="S348" s="164">
        <v>0</v>
      </c>
      <c r="T348" s="164">
        <v>0</v>
      </c>
      <c r="U348" s="164">
        <v>0</v>
      </c>
      <c r="V348" s="164">
        <v>0</v>
      </c>
      <c r="W348" s="164">
        <v>371.2</v>
      </c>
      <c r="X348" s="164">
        <v>0</v>
      </c>
      <c r="Y348" s="164">
        <v>0</v>
      </c>
      <c r="Z348" s="164">
        <v>0</v>
      </c>
      <c r="AA348" s="164">
        <v>0</v>
      </c>
      <c r="AB348" s="164">
        <v>0</v>
      </c>
      <c r="AC348" s="164">
        <v>0</v>
      </c>
    </row>
    <row r="349" spans="1:29" s="165" customFormat="1" ht="15" customHeight="1" x14ac:dyDescent="0.3">
      <c r="A349" s="71" t="s">
        <v>1047</v>
      </c>
      <c r="B349" s="71" t="s">
        <v>1048</v>
      </c>
      <c r="C349" s="113" t="s">
        <v>69</v>
      </c>
      <c r="D349" s="71" t="s">
        <v>1049</v>
      </c>
      <c r="E349" s="113" t="s">
        <v>69</v>
      </c>
      <c r="F349" s="71" t="s">
        <v>71</v>
      </c>
      <c r="G349" s="67">
        <v>21101</v>
      </c>
      <c r="H349" s="71" t="s">
        <v>211</v>
      </c>
      <c r="I349" s="71" t="s">
        <v>501</v>
      </c>
      <c r="J349" s="71" t="s">
        <v>502</v>
      </c>
      <c r="K349" s="67" t="s">
        <v>1059</v>
      </c>
      <c r="L349" s="67" t="s">
        <v>1059</v>
      </c>
      <c r="M349" s="67" t="s">
        <v>55</v>
      </c>
      <c r="N349" s="67">
        <v>3</v>
      </c>
      <c r="O349" s="163">
        <v>1431.63</v>
      </c>
      <c r="P349" s="71" t="s">
        <v>380</v>
      </c>
      <c r="Q349" s="164">
        <f t="shared" si="17"/>
        <v>4294.8999999999996</v>
      </c>
      <c r="R349" s="164">
        <v>0</v>
      </c>
      <c r="S349" s="164">
        <v>0</v>
      </c>
      <c r="T349" s="164">
        <v>0</v>
      </c>
      <c r="U349" s="164">
        <v>0</v>
      </c>
      <c r="V349" s="164">
        <v>0</v>
      </c>
      <c r="W349" s="164">
        <v>4294.8999999999996</v>
      </c>
      <c r="X349" s="164">
        <v>0</v>
      </c>
      <c r="Y349" s="164">
        <v>0</v>
      </c>
      <c r="Z349" s="164">
        <v>0</v>
      </c>
      <c r="AA349" s="164">
        <v>0</v>
      </c>
      <c r="AB349" s="164">
        <v>0</v>
      </c>
      <c r="AC349" s="164">
        <v>0</v>
      </c>
    </row>
    <row r="350" spans="1:29" s="165" customFormat="1" ht="15" customHeight="1" x14ac:dyDescent="0.3">
      <c r="A350" s="71" t="s">
        <v>1047</v>
      </c>
      <c r="B350" s="71" t="s">
        <v>1048</v>
      </c>
      <c r="C350" s="113" t="s">
        <v>69</v>
      </c>
      <c r="D350" s="71" t="s">
        <v>1049</v>
      </c>
      <c r="E350" s="113" t="s">
        <v>69</v>
      </c>
      <c r="F350" s="71" t="s">
        <v>71</v>
      </c>
      <c r="G350" s="67">
        <v>21101</v>
      </c>
      <c r="H350" s="71" t="s">
        <v>211</v>
      </c>
      <c r="I350" s="71" t="s">
        <v>501</v>
      </c>
      <c r="J350" s="71" t="s">
        <v>502</v>
      </c>
      <c r="K350" s="67" t="s">
        <v>1059</v>
      </c>
      <c r="L350" s="67" t="s">
        <v>1059</v>
      </c>
      <c r="M350" s="67" t="s">
        <v>55</v>
      </c>
      <c r="N350" s="67">
        <v>5</v>
      </c>
      <c r="O350" s="163">
        <v>1451.8</v>
      </c>
      <c r="P350" s="71" t="s">
        <v>380</v>
      </c>
      <c r="Q350" s="164">
        <f t="shared" si="17"/>
        <v>7259</v>
      </c>
      <c r="R350" s="164">
        <v>0</v>
      </c>
      <c r="S350" s="164">
        <v>0</v>
      </c>
      <c r="T350" s="164">
        <v>0</v>
      </c>
      <c r="U350" s="164">
        <v>0</v>
      </c>
      <c r="V350" s="164">
        <v>0</v>
      </c>
      <c r="W350" s="164">
        <v>0</v>
      </c>
      <c r="X350" s="164">
        <v>0</v>
      </c>
      <c r="Y350" s="164">
        <v>0</v>
      </c>
      <c r="Z350" s="164">
        <v>0</v>
      </c>
      <c r="AA350" s="164">
        <v>7259</v>
      </c>
      <c r="AB350" s="164">
        <v>0</v>
      </c>
      <c r="AC350" s="164">
        <v>0</v>
      </c>
    </row>
    <row r="351" spans="1:29" s="165" customFormat="1" ht="15" customHeight="1" x14ac:dyDescent="0.3">
      <c r="A351" s="71" t="s">
        <v>1047</v>
      </c>
      <c r="B351" s="71" t="s">
        <v>1048</v>
      </c>
      <c r="C351" s="113" t="s">
        <v>69</v>
      </c>
      <c r="D351" s="71" t="s">
        <v>1049</v>
      </c>
      <c r="E351" s="113" t="s">
        <v>69</v>
      </c>
      <c r="F351" s="71" t="s">
        <v>71</v>
      </c>
      <c r="G351" s="67">
        <v>21401</v>
      </c>
      <c r="H351" s="71" t="s">
        <v>213</v>
      </c>
      <c r="I351" s="71" t="s">
        <v>1076</v>
      </c>
      <c r="J351" s="71" t="s">
        <v>1077</v>
      </c>
      <c r="K351" s="67" t="s">
        <v>1059</v>
      </c>
      <c r="L351" s="67" t="s">
        <v>1059</v>
      </c>
      <c r="M351" s="67" t="s">
        <v>383</v>
      </c>
      <c r="N351" s="67">
        <v>2</v>
      </c>
      <c r="O351" s="163">
        <v>5334.28</v>
      </c>
      <c r="P351" s="71" t="s">
        <v>380</v>
      </c>
      <c r="Q351" s="164">
        <f t="shared" si="17"/>
        <v>10668.56</v>
      </c>
      <c r="R351" s="164">
        <v>0</v>
      </c>
      <c r="S351" s="164">
        <v>0</v>
      </c>
      <c r="T351" s="164">
        <v>0</v>
      </c>
      <c r="U351" s="164">
        <v>0</v>
      </c>
      <c r="V351" s="164">
        <v>0</v>
      </c>
      <c r="W351" s="164">
        <v>0</v>
      </c>
      <c r="X351" s="164">
        <v>0</v>
      </c>
      <c r="Y351" s="164">
        <v>5334.28</v>
      </c>
      <c r="Z351" s="164">
        <v>0</v>
      </c>
      <c r="AA351" s="164"/>
      <c r="AB351" s="164">
        <v>5334.28</v>
      </c>
      <c r="AC351" s="164"/>
    </row>
    <row r="352" spans="1:29" s="165" customFormat="1" ht="15" customHeight="1" x14ac:dyDescent="0.3">
      <c r="A352" s="71" t="s">
        <v>1047</v>
      </c>
      <c r="B352" s="71" t="s">
        <v>1048</v>
      </c>
      <c r="C352" s="113" t="s">
        <v>69</v>
      </c>
      <c r="D352" s="71" t="s">
        <v>1049</v>
      </c>
      <c r="E352" s="113" t="s">
        <v>69</v>
      </c>
      <c r="F352" s="71" t="s">
        <v>71</v>
      </c>
      <c r="G352" s="67">
        <v>21401</v>
      </c>
      <c r="H352" s="71" t="s">
        <v>213</v>
      </c>
      <c r="I352" s="71" t="s">
        <v>892</v>
      </c>
      <c r="J352" s="71" t="s">
        <v>893</v>
      </c>
      <c r="K352" s="67" t="s">
        <v>1059</v>
      </c>
      <c r="L352" s="67" t="s">
        <v>1059</v>
      </c>
      <c r="M352" s="67" t="s">
        <v>383</v>
      </c>
      <c r="N352" s="67">
        <v>2</v>
      </c>
      <c r="O352" s="163">
        <v>2165.7199999999998</v>
      </c>
      <c r="P352" s="71" t="s">
        <v>380</v>
      </c>
      <c r="Q352" s="164">
        <f t="shared" si="17"/>
        <v>4331.4399999999996</v>
      </c>
      <c r="R352" s="164">
        <v>0</v>
      </c>
      <c r="S352" s="164">
        <v>2165.7199999999998</v>
      </c>
      <c r="T352" s="164">
        <v>0</v>
      </c>
      <c r="U352" s="164">
        <v>2165.7199999999998</v>
      </c>
      <c r="V352" s="164">
        <v>0</v>
      </c>
      <c r="W352" s="164">
        <v>0</v>
      </c>
      <c r="X352" s="164">
        <v>0</v>
      </c>
      <c r="Y352" s="164">
        <v>0</v>
      </c>
      <c r="Z352" s="164">
        <v>0</v>
      </c>
      <c r="AA352" s="164">
        <v>0</v>
      </c>
      <c r="AB352" s="164">
        <v>0</v>
      </c>
      <c r="AC352" s="164">
        <v>0</v>
      </c>
    </row>
    <row r="353" spans="1:29" s="165" customFormat="1" ht="15" customHeight="1" x14ac:dyDescent="0.3">
      <c r="A353" s="71" t="s">
        <v>1047</v>
      </c>
      <c r="B353" s="71" t="s">
        <v>1048</v>
      </c>
      <c r="C353" s="113" t="s">
        <v>69</v>
      </c>
      <c r="D353" s="71" t="s">
        <v>1049</v>
      </c>
      <c r="E353" s="113" t="s">
        <v>69</v>
      </c>
      <c r="F353" s="71" t="s">
        <v>71</v>
      </c>
      <c r="G353" s="67">
        <v>21601</v>
      </c>
      <c r="H353" s="71" t="s">
        <v>212</v>
      </c>
      <c r="I353" s="71" t="s">
        <v>538</v>
      </c>
      <c r="J353" s="71" t="s">
        <v>539</v>
      </c>
      <c r="K353" s="67" t="s">
        <v>1059</v>
      </c>
      <c r="L353" s="67" t="s">
        <v>1059</v>
      </c>
      <c r="M353" s="67" t="s">
        <v>55</v>
      </c>
      <c r="N353" s="67">
        <v>2</v>
      </c>
      <c r="O353" s="163">
        <v>794.6</v>
      </c>
      <c r="P353" s="71" t="s">
        <v>380</v>
      </c>
      <c r="Q353" s="164">
        <f t="shared" si="17"/>
        <v>8740.6</v>
      </c>
      <c r="R353" s="164">
        <v>0</v>
      </c>
      <c r="S353" s="164">
        <v>1589.2</v>
      </c>
      <c r="T353" s="164">
        <v>0</v>
      </c>
      <c r="U353" s="164">
        <v>1589.2</v>
      </c>
      <c r="V353" s="164">
        <v>0</v>
      </c>
      <c r="W353" s="164">
        <v>1589.2</v>
      </c>
      <c r="X353" s="164">
        <v>0</v>
      </c>
      <c r="Y353" s="164">
        <v>1589.2</v>
      </c>
      <c r="Z353" s="164">
        <v>0</v>
      </c>
      <c r="AA353" s="164">
        <v>2383.8000000000002</v>
      </c>
      <c r="AB353" s="164">
        <v>0</v>
      </c>
      <c r="AC353" s="164">
        <v>0</v>
      </c>
    </row>
    <row r="354" spans="1:29" s="165" customFormat="1" ht="15" customHeight="1" x14ac:dyDescent="0.3">
      <c r="A354" s="71" t="s">
        <v>1047</v>
      </c>
      <c r="B354" s="71" t="s">
        <v>1048</v>
      </c>
      <c r="C354" s="113" t="s">
        <v>69</v>
      </c>
      <c r="D354" s="71" t="s">
        <v>1049</v>
      </c>
      <c r="E354" s="113" t="s">
        <v>69</v>
      </c>
      <c r="F354" s="71" t="s">
        <v>71</v>
      </c>
      <c r="G354" s="67">
        <v>21601</v>
      </c>
      <c r="H354" s="71" t="s">
        <v>212</v>
      </c>
      <c r="I354" s="71" t="s">
        <v>337</v>
      </c>
      <c r="J354" s="71" t="s">
        <v>542</v>
      </c>
      <c r="K354" s="67" t="s">
        <v>1059</v>
      </c>
      <c r="L354" s="67" t="s">
        <v>1059</v>
      </c>
      <c r="M354" s="67" t="s">
        <v>55</v>
      </c>
      <c r="N354" s="67">
        <v>5</v>
      </c>
      <c r="O354" s="163">
        <v>251.6</v>
      </c>
      <c r="P354" s="71" t="s">
        <v>380</v>
      </c>
      <c r="Q354" s="164">
        <f t="shared" si="17"/>
        <v>1259.4000000000001</v>
      </c>
      <c r="R354" s="164">
        <v>0</v>
      </c>
      <c r="S354" s="164">
        <v>283.04000000000002</v>
      </c>
      <c r="T354" s="164">
        <v>0</v>
      </c>
      <c r="U354" s="164">
        <v>283.04000000000002</v>
      </c>
      <c r="V354" s="164">
        <v>0</v>
      </c>
      <c r="W354" s="164">
        <v>283.04000000000002</v>
      </c>
      <c r="X354" s="164">
        <v>0</v>
      </c>
      <c r="Y354" s="164">
        <v>283.04000000000002</v>
      </c>
      <c r="Z354" s="164">
        <v>0</v>
      </c>
      <c r="AA354" s="164">
        <v>127.24</v>
      </c>
      <c r="AB354" s="164">
        <v>0</v>
      </c>
      <c r="AC354" s="164">
        <v>0</v>
      </c>
    </row>
    <row r="355" spans="1:29" s="165" customFormat="1" ht="15" customHeight="1" x14ac:dyDescent="0.3">
      <c r="A355" s="71" t="s">
        <v>1047</v>
      </c>
      <c r="B355" s="71" t="s">
        <v>1048</v>
      </c>
      <c r="C355" s="113" t="s">
        <v>69</v>
      </c>
      <c r="D355" s="71" t="s">
        <v>1049</v>
      </c>
      <c r="E355" s="113" t="s">
        <v>69</v>
      </c>
      <c r="F355" s="71" t="s">
        <v>71</v>
      </c>
      <c r="G355" s="67">
        <v>22104</v>
      </c>
      <c r="H355" s="71" t="s">
        <v>1078</v>
      </c>
      <c r="I355" s="71" t="s">
        <v>1079</v>
      </c>
      <c r="J355" s="71" t="s">
        <v>692</v>
      </c>
      <c r="K355" s="67" t="s">
        <v>1059</v>
      </c>
      <c r="L355" s="67" t="s">
        <v>1059</v>
      </c>
      <c r="M355" s="67" t="s">
        <v>56</v>
      </c>
      <c r="N355" s="67">
        <v>176</v>
      </c>
      <c r="O355" s="163">
        <v>127</v>
      </c>
      <c r="P355" s="71" t="s">
        <v>380</v>
      </c>
      <c r="Q355" s="164">
        <f t="shared" si="17"/>
        <v>22499.950000000004</v>
      </c>
      <c r="R355" s="164">
        <v>0</v>
      </c>
      <c r="S355" s="164">
        <v>2045.45</v>
      </c>
      <c r="T355" s="164">
        <v>2045.45</v>
      </c>
      <c r="U355" s="164">
        <v>2045.45</v>
      </c>
      <c r="V355" s="164">
        <v>2045.45</v>
      </c>
      <c r="W355" s="164">
        <v>2045.45</v>
      </c>
      <c r="X355" s="164">
        <v>2045.45</v>
      </c>
      <c r="Y355" s="164">
        <v>2045.45</v>
      </c>
      <c r="Z355" s="164">
        <v>2045.45</v>
      </c>
      <c r="AA355" s="164">
        <v>2045.45</v>
      </c>
      <c r="AB355" s="164">
        <v>2045.45</v>
      </c>
      <c r="AC355" s="164">
        <v>2045.45</v>
      </c>
    </row>
    <row r="356" spans="1:29" s="165" customFormat="1" ht="15" customHeight="1" x14ac:dyDescent="0.3">
      <c r="A356" s="71" t="s">
        <v>1047</v>
      </c>
      <c r="B356" s="71" t="s">
        <v>1048</v>
      </c>
      <c r="C356" s="113" t="s">
        <v>69</v>
      </c>
      <c r="D356" s="71" t="s">
        <v>1049</v>
      </c>
      <c r="E356" s="113" t="s">
        <v>69</v>
      </c>
      <c r="F356" s="71" t="s">
        <v>71</v>
      </c>
      <c r="G356" s="67">
        <v>24601</v>
      </c>
      <c r="H356" s="71" t="s">
        <v>1080</v>
      </c>
      <c r="I356" s="71" t="s">
        <v>1081</v>
      </c>
      <c r="J356" s="71" t="s">
        <v>172</v>
      </c>
      <c r="K356" s="67" t="s">
        <v>1059</v>
      </c>
      <c r="L356" s="67" t="s">
        <v>1059</v>
      </c>
      <c r="M356" s="67" t="s">
        <v>383</v>
      </c>
      <c r="N356" s="67">
        <v>2</v>
      </c>
      <c r="O356" s="163">
        <v>2304</v>
      </c>
      <c r="P356" s="71" t="s">
        <v>380</v>
      </c>
      <c r="Q356" s="164">
        <f t="shared" si="17"/>
        <v>4608</v>
      </c>
      <c r="R356" s="164">
        <v>0</v>
      </c>
      <c r="S356" s="164">
        <v>0</v>
      </c>
      <c r="T356" s="164">
        <v>0</v>
      </c>
      <c r="U356" s="164">
        <v>0</v>
      </c>
      <c r="V356" s="164">
        <v>0</v>
      </c>
      <c r="W356" s="164">
        <v>2304</v>
      </c>
      <c r="X356" s="164">
        <v>0</v>
      </c>
      <c r="Y356" s="164">
        <v>0</v>
      </c>
      <c r="Z356" s="164">
        <v>0</v>
      </c>
      <c r="AA356" s="164">
        <v>0</v>
      </c>
      <c r="AB356" s="164">
        <v>2304</v>
      </c>
      <c r="AC356" s="164">
        <v>0</v>
      </c>
    </row>
    <row r="357" spans="1:29" s="165" customFormat="1" ht="15" customHeight="1" x14ac:dyDescent="0.3">
      <c r="A357" s="71" t="s">
        <v>1047</v>
      </c>
      <c r="B357" s="71" t="s">
        <v>1048</v>
      </c>
      <c r="C357" s="113" t="s">
        <v>69</v>
      </c>
      <c r="D357" s="71" t="s">
        <v>1049</v>
      </c>
      <c r="E357" s="113" t="s">
        <v>69</v>
      </c>
      <c r="F357" s="71" t="s">
        <v>71</v>
      </c>
      <c r="G357" s="67">
        <v>24601</v>
      </c>
      <c r="H357" s="71" t="s">
        <v>1080</v>
      </c>
      <c r="I357" s="71" t="s">
        <v>985</v>
      </c>
      <c r="J357" s="71" t="s">
        <v>1025</v>
      </c>
      <c r="K357" s="67" t="s">
        <v>1059</v>
      </c>
      <c r="L357" s="67" t="s">
        <v>1059</v>
      </c>
      <c r="M357" s="67" t="s">
        <v>383</v>
      </c>
      <c r="N357" s="67">
        <v>30</v>
      </c>
      <c r="O357" s="163">
        <v>46.4</v>
      </c>
      <c r="P357" s="71" t="s">
        <v>380</v>
      </c>
      <c r="Q357" s="164">
        <f t="shared" si="17"/>
        <v>1392</v>
      </c>
      <c r="R357" s="164">
        <v>0</v>
      </c>
      <c r="S357" s="164">
        <v>974.4</v>
      </c>
      <c r="T357" s="164">
        <v>46.4</v>
      </c>
      <c r="U357" s="164">
        <v>0</v>
      </c>
      <c r="V357" s="164">
        <v>46.4</v>
      </c>
      <c r="W357" s="164">
        <v>0</v>
      </c>
      <c r="X357" s="164">
        <v>139.19999999999999</v>
      </c>
      <c r="Y357" s="164">
        <v>0</v>
      </c>
      <c r="Z357" s="164">
        <v>0</v>
      </c>
      <c r="AA357" s="164">
        <v>185.6</v>
      </c>
      <c r="AB357" s="164">
        <v>0</v>
      </c>
      <c r="AC357" s="164">
        <v>0</v>
      </c>
    </row>
    <row r="358" spans="1:29" s="165" customFormat="1" ht="15" customHeight="1" x14ac:dyDescent="0.3">
      <c r="A358" s="71" t="s">
        <v>1047</v>
      </c>
      <c r="B358" s="71" t="s">
        <v>1048</v>
      </c>
      <c r="C358" s="113">
        <v>119</v>
      </c>
      <c r="D358" s="71" t="s">
        <v>1049</v>
      </c>
      <c r="E358" s="113" t="s">
        <v>69</v>
      </c>
      <c r="F358" s="71" t="s">
        <v>444</v>
      </c>
      <c r="G358" s="67">
        <v>25201</v>
      </c>
      <c r="H358" s="71" t="s">
        <v>1082</v>
      </c>
      <c r="I358" s="67" t="s">
        <v>1083</v>
      </c>
      <c r="J358" s="71" t="s">
        <v>1084</v>
      </c>
      <c r="K358" s="67" t="s">
        <v>1059</v>
      </c>
      <c r="L358" s="67" t="s">
        <v>1059</v>
      </c>
      <c r="M358" s="67" t="s">
        <v>383</v>
      </c>
      <c r="N358" s="67">
        <v>34</v>
      </c>
      <c r="O358" s="163">
        <v>823.52</v>
      </c>
      <c r="P358" s="71" t="s">
        <v>380</v>
      </c>
      <c r="Q358" s="164">
        <f t="shared" si="17"/>
        <v>27999.980000000003</v>
      </c>
      <c r="R358" s="164">
        <v>5003.54</v>
      </c>
      <c r="S358" s="164">
        <v>5003.54</v>
      </c>
      <c r="T358" s="164">
        <v>0</v>
      </c>
      <c r="U358" s="164">
        <v>3494.09</v>
      </c>
      <c r="V358" s="164">
        <v>0</v>
      </c>
      <c r="W358" s="164">
        <v>6289.37</v>
      </c>
      <c r="X358" s="164">
        <v>0</v>
      </c>
      <c r="Y358" s="164">
        <v>5003.54</v>
      </c>
      <c r="Z358" s="164">
        <v>0</v>
      </c>
      <c r="AA358" s="164">
        <v>3205.9</v>
      </c>
      <c r="AB358" s="164">
        <v>0</v>
      </c>
      <c r="AC358" s="164">
        <v>0</v>
      </c>
    </row>
    <row r="359" spans="1:29" s="165" customFormat="1" ht="15" customHeight="1" x14ac:dyDescent="0.3">
      <c r="A359" s="71" t="s">
        <v>1047</v>
      </c>
      <c r="B359" s="71" t="s">
        <v>1048</v>
      </c>
      <c r="C359" s="113" t="s">
        <v>69</v>
      </c>
      <c r="D359" s="71" t="s">
        <v>1049</v>
      </c>
      <c r="E359" s="113" t="s">
        <v>69</v>
      </c>
      <c r="F359" s="71" t="s">
        <v>71</v>
      </c>
      <c r="G359" s="67">
        <v>25301</v>
      </c>
      <c r="H359" s="71" t="s">
        <v>1085</v>
      </c>
      <c r="I359" s="71" t="s">
        <v>1086</v>
      </c>
      <c r="J359" s="71" t="s">
        <v>1087</v>
      </c>
      <c r="K359" s="67" t="s">
        <v>1059</v>
      </c>
      <c r="L359" s="67" t="s">
        <v>1059</v>
      </c>
      <c r="M359" s="67" t="s">
        <v>383</v>
      </c>
      <c r="N359" s="67">
        <v>1</v>
      </c>
      <c r="O359" s="163">
        <v>2500</v>
      </c>
      <c r="P359" s="71" t="s">
        <v>380</v>
      </c>
      <c r="Q359" s="164">
        <f t="shared" si="17"/>
        <v>2500</v>
      </c>
      <c r="R359" s="164">
        <v>0</v>
      </c>
      <c r="S359" s="164">
        <v>1494.08</v>
      </c>
      <c r="T359" s="164">
        <v>0</v>
      </c>
      <c r="U359" s="164">
        <v>0</v>
      </c>
      <c r="V359" s="164">
        <v>1005.92</v>
      </c>
      <c r="W359" s="164">
        <v>0</v>
      </c>
      <c r="X359" s="164">
        <v>0</v>
      </c>
      <c r="Y359" s="164">
        <v>0</v>
      </c>
      <c r="Z359" s="164">
        <v>0</v>
      </c>
      <c r="AA359" s="164">
        <v>0</v>
      </c>
      <c r="AB359" s="164">
        <v>0</v>
      </c>
      <c r="AC359" s="164">
        <v>0</v>
      </c>
    </row>
    <row r="360" spans="1:29" s="165" customFormat="1" ht="15" customHeight="1" x14ac:dyDescent="0.3">
      <c r="A360" s="71" t="s">
        <v>1047</v>
      </c>
      <c r="B360" s="71" t="s">
        <v>1048</v>
      </c>
      <c r="C360" s="113" t="s">
        <v>69</v>
      </c>
      <c r="D360" s="71" t="s">
        <v>1049</v>
      </c>
      <c r="E360" s="113" t="s">
        <v>69</v>
      </c>
      <c r="F360" s="71" t="s">
        <v>71</v>
      </c>
      <c r="G360" s="67">
        <v>26102</v>
      </c>
      <c r="H360" s="71" t="s">
        <v>1088</v>
      </c>
      <c r="I360" s="71" t="s">
        <v>313</v>
      </c>
      <c r="J360" s="71" t="s">
        <v>571</v>
      </c>
      <c r="K360" s="67" t="s">
        <v>1059</v>
      </c>
      <c r="L360" s="67" t="s">
        <v>1059</v>
      </c>
      <c r="M360" s="67" t="s">
        <v>726</v>
      </c>
      <c r="N360" s="67">
        <v>11</v>
      </c>
      <c r="O360" s="163">
        <v>5818.18</v>
      </c>
      <c r="P360" s="71" t="s">
        <v>380</v>
      </c>
      <c r="Q360" s="164">
        <f t="shared" si="17"/>
        <v>64000</v>
      </c>
      <c r="R360" s="164">
        <v>6000</v>
      </c>
      <c r="S360" s="164">
        <v>6000</v>
      </c>
      <c r="T360" s="164">
        <v>6000</v>
      </c>
      <c r="U360" s="164">
        <v>6000</v>
      </c>
      <c r="V360" s="164">
        <v>6000</v>
      </c>
      <c r="W360" s="164">
        <v>6000</v>
      </c>
      <c r="X360" s="164">
        <v>6000</v>
      </c>
      <c r="Y360" s="164">
        <v>6000</v>
      </c>
      <c r="Z360" s="164">
        <v>5000</v>
      </c>
      <c r="AA360" s="164">
        <v>5000</v>
      </c>
      <c r="AB360" s="164">
        <v>6000</v>
      </c>
      <c r="AC360" s="164">
        <v>0</v>
      </c>
    </row>
    <row r="361" spans="1:29" s="165" customFormat="1" ht="15" customHeight="1" x14ac:dyDescent="0.3">
      <c r="A361" s="71" t="s">
        <v>1047</v>
      </c>
      <c r="B361" s="71" t="s">
        <v>1048</v>
      </c>
      <c r="C361" s="113" t="s">
        <v>69</v>
      </c>
      <c r="D361" s="71" t="s">
        <v>1049</v>
      </c>
      <c r="E361" s="113" t="s">
        <v>69</v>
      </c>
      <c r="F361" s="71" t="s">
        <v>71</v>
      </c>
      <c r="G361" s="67">
        <v>27101</v>
      </c>
      <c r="H361" s="71" t="s">
        <v>242</v>
      </c>
      <c r="I361" s="71" t="s">
        <v>1089</v>
      </c>
      <c r="J361" s="71" t="s">
        <v>1090</v>
      </c>
      <c r="K361" s="67" t="s">
        <v>1059</v>
      </c>
      <c r="L361" s="67" t="s">
        <v>1059</v>
      </c>
      <c r="M361" s="67" t="s">
        <v>383</v>
      </c>
      <c r="N361" s="67">
        <v>20</v>
      </c>
      <c r="O361" s="163">
        <v>250</v>
      </c>
      <c r="P361" s="71" t="s">
        <v>380</v>
      </c>
      <c r="Q361" s="164">
        <f t="shared" si="17"/>
        <v>10000</v>
      </c>
      <c r="R361" s="164">
        <v>0</v>
      </c>
      <c r="S361" s="164">
        <v>10000</v>
      </c>
      <c r="T361" s="164">
        <v>0</v>
      </c>
      <c r="U361" s="164">
        <v>0</v>
      </c>
      <c r="V361" s="164">
        <v>0</v>
      </c>
      <c r="W361" s="164">
        <v>0</v>
      </c>
      <c r="X361" s="164">
        <v>0</v>
      </c>
      <c r="Y361" s="164">
        <v>0</v>
      </c>
      <c r="Z361" s="164">
        <v>0</v>
      </c>
      <c r="AA361" s="164">
        <v>0</v>
      </c>
      <c r="AB361" s="164">
        <v>0</v>
      </c>
      <c r="AC361" s="164">
        <v>0</v>
      </c>
    </row>
    <row r="362" spans="1:29" s="165" customFormat="1" ht="15" customHeight="1" x14ac:dyDescent="0.3">
      <c r="A362" s="71" t="s">
        <v>1047</v>
      </c>
      <c r="B362" s="71" t="s">
        <v>1048</v>
      </c>
      <c r="C362" s="113" t="s">
        <v>69</v>
      </c>
      <c r="D362" s="71" t="s">
        <v>1049</v>
      </c>
      <c r="E362" s="113" t="s">
        <v>69</v>
      </c>
      <c r="F362" s="71" t="s">
        <v>71</v>
      </c>
      <c r="G362" s="67">
        <v>29101</v>
      </c>
      <c r="H362" s="71" t="s">
        <v>222</v>
      </c>
      <c r="I362" s="71" t="s">
        <v>1091</v>
      </c>
      <c r="J362" s="71" t="s">
        <v>1092</v>
      </c>
      <c r="K362" s="67" t="s">
        <v>1059</v>
      </c>
      <c r="L362" s="67" t="s">
        <v>1059</v>
      </c>
      <c r="M362" s="67" t="s">
        <v>383</v>
      </c>
      <c r="N362" s="67">
        <v>2</v>
      </c>
      <c r="O362" s="163">
        <v>2500</v>
      </c>
      <c r="P362" s="71" t="s">
        <v>380</v>
      </c>
      <c r="Q362" s="164">
        <f t="shared" si="17"/>
        <v>5000</v>
      </c>
      <c r="R362" s="164">
        <v>0</v>
      </c>
      <c r="S362" s="164">
        <v>0</v>
      </c>
      <c r="T362" s="164">
        <v>2500</v>
      </c>
      <c r="U362" s="164">
        <v>0</v>
      </c>
      <c r="V362" s="164">
        <v>2500</v>
      </c>
      <c r="W362" s="164">
        <v>0</v>
      </c>
      <c r="X362" s="164">
        <v>0</v>
      </c>
      <c r="Y362" s="164">
        <v>0</v>
      </c>
      <c r="Z362" s="164">
        <v>0</v>
      </c>
      <c r="AA362" s="164">
        <v>0</v>
      </c>
      <c r="AB362" s="164">
        <v>0</v>
      </c>
      <c r="AC362" s="164">
        <v>0</v>
      </c>
    </row>
    <row r="363" spans="1:29" s="165" customFormat="1" ht="15" customHeight="1" x14ac:dyDescent="0.3">
      <c r="A363" s="71" t="s">
        <v>1047</v>
      </c>
      <c r="B363" s="71" t="s">
        <v>1048</v>
      </c>
      <c r="C363" s="113" t="s">
        <v>69</v>
      </c>
      <c r="D363" s="71" t="s">
        <v>1049</v>
      </c>
      <c r="E363" s="113" t="s">
        <v>69</v>
      </c>
      <c r="F363" s="71" t="s">
        <v>71</v>
      </c>
      <c r="G363" s="67">
        <v>29401</v>
      </c>
      <c r="H363" s="71" t="s">
        <v>422</v>
      </c>
      <c r="I363" s="67" t="s">
        <v>1093</v>
      </c>
      <c r="J363" s="71" t="s">
        <v>1094</v>
      </c>
      <c r="K363" s="67" t="s">
        <v>1059</v>
      </c>
      <c r="L363" s="67" t="s">
        <v>1059</v>
      </c>
      <c r="M363" s="67" t="s">
        <v>383</v>
      </c>
      <c r="N363" s="67">
        <v>4</v>
      </c>
      <c r="O363" s="163">
        <v>392.8</v>
      </c>
      <c r="P363" s="71" t="s">
        <v>380</v>
      </c>
      <c r="Q363" s="164">
        <f t="shared" si="17"/>
        <v>1571.2</v>
      </c>
      <c r="R363" s="164">
        <v>0</v>
      </c>
      <c r="S363" s="164">
        <v>1571.2</v>
      </c>
      <c r="T363" s="164">
        <v>0</v>
      </c>
      <c r="U363" s="164">
        <v>0</v>
      </c>
      <c r="V363" s="164">
        <v>0</v>
      </c>
      <c r="W363" s="164">
        <v>0</v>
      </c>
      <c r="X363" s="164">
        <v>0</v>
      </c>
      <c r="Y363" s="164">
        <v>0</v>
      </c>
      <c r="Z363" s="164">
        <v>0</v>
      </c>
      <c r="AA363" s="164">
        <v>0</v>
      </c>
      <c r="AB363" s="164">
        <v>0</v>
      </c>
      <c r="AC363" s="164">
        <v>0</v>
      </c>
    </row>
    <row r="364" spans="1:29" s="165" customFormat="1" ht="15" customHeight="1" x14ac:dyDescent="0.3">
      <c r="A364" s="71" t="s">
        <v>1047</v>
      </c>
      <c r="B364" s="71" t="s">
        <v>1048</v>
      </c>
      <c r="C364" s="113" t="s">
        <v>69</v>
      </c>
      <c r="D364" s="71" t="s">
        <v>1049</v>
      </c>
      <c r="E364" s="113" t="s">
        <v>69</v>
      </c>
      <c r="F364" s="71" t="s">
        <v>71</v>
      </c>
      <c r="G364" s="67">
        <v>29401</v>
      </c>
      <c r="H364" s="71" t="s">
        <v>422</v>
      </c>
      <c r="I364" s="71" t="s">
        <v>554</v>
      </c>
      <c r="J364" s="71" t="s">
        <v>555</v>
      </c>
      <c r="K364" s="67" t="s">
        <v>1059</v>
      </c>
      <c r="L364" s="67" t="s">
        <v>1059</v>
      </c>
      <c r="M364" s="67" t="s">
        <v>383</v>
      </c>
      <c r="N364" s="67">
        <v>6</v>
      </c>
      <c r="O364" s="163">
        <v>904.8</v>
      </c>
      <c r="P364" s="71" t="s">
        <v>380</v>
      </c>
      <c r="Q364" s="164">
        <f t="shared" si="17"/>
        <v>5428.8</v>
      </c>
      <c r="R364" s="164">
        <v>0</v>
      </c>
      <c r="S364" s="164">
        <v>0</v>
      </c>
      <c r="T364" s="164">
        <v>0</v>
      </c>
      <c r="U364" s="164">
        <v>0</v>
      </c>
      <c r="V364" s="164">
        <v>0</v>
      </c>
      <c r="W364" s="164">
        <v>0</v>
      </c>
      <c r="X364" s="164">
        <v>0</v>
      </c>
      <c r="Y364" s="164">
        <v>0</v>
      </c>
      <c r="Z364" s="164">
        <v>5428.8</v>
      </c>
      <c r="AA364" s="164">
        <v>0</v>
      </c>
      <c r="AB364" s="164">
        <v>0</v>
      </c>
      <c r="AC364" s="164">
        <v>0</v>
      </c>
    </row>
    <row r="365" spans="1:29" s="165" customFormat="1" ht="15" customHeight="1" x14ac:dyDescent="0.3">
      <c r="A365" s="71" t="s">
        <v>1047</v>
      </c>
      <c r="B365" s="71" t="s">
        <v>1048</v>
      </c>
      <c r="C365" s="113" t="s">
        <v>69</v>
      </c>
      <c r="D365" s="71" t="s">
        <v>1049</v>
      </c>
      <c r="E365" s="113" t="s">
        <v>69</v>
      </c>
      <c r="F365" s="71" t="s">
        <v>71</v>
      </c>
      <c r="G365" s="67">
        <v>32601</v>
      </c>
      <c r="H365" s="71" t="s">
        <v>1095</v>
      </c>
      <c r="I365" s="71" t="s">
        <v>429</v>
      </c>
      <c r="J365" s="71" t="s">
        <v>90</v>
      </c>
      <c r="K365" s="67" t="s">
        <v>430</v>
      </c>
      <c r="L365" s="67" t="s">
        <v>429</v>
      </c>
      <c r="M365" s="67" t="s">
        <v>429</v>
      </c>
      <c r="N365" s="67">
        <v>11</v>
      </c>
      <c r="O365" s="163">
        <v>2772.72</v>
      </c>
      <c r="P365" s="71" t="s">
        <v>380</v>
      </c>
      <c r="Q365" s="164">
        <f t="shared" si="17"/>
        <v>30500</v>
      </c>
      <c r="R365" s="164">
        <v>2000</v>
      </c>
      <c r="S365" s="164">
        <v>3000</v>
      </c>
      <c r="T365" s="164">
        <v>3000</v>
      </c>
      <c r="U365" s="164">
        <v>3000</v>
      </c>
      <c r="V365" s="164">
        <v>3000</v>
      </c>
      <c r="W365" s="164">
        <v>3000</v>
      </c>
      <c r="X365" s="164">
        <v>2500</v>
      </c>
      <c r="Y365" s="164">
        <v>3000</v>
      </c>
      <c r="Z365" s="164">
        <v>2500</v>
      </c>
      <c r="AA365" s="164">
        <v>2500</v>
      </c>
      <c r="AB365" s="164">
        <v>3000</v>
      </c>
      <c r="AC365" s="164">
        <v>0</v>
      </c>
    </row>
    <row r="366" spans="1:29" s="165" customFormat="1" ht="15" customHeight="1" x14ac:dyDescent="0.3">
      <c r="A366" s="71" t="s">
        <v>1047</v>
      </c>
      <c r="B366" s="71" t="s">
        <v>1048</v>
      </c>
      <c r="C366" s="113" t="s">
        <v>69</v>
      </c>
      <c r="D366" s="71" t="s">
        <v>1049</v>
      </c>
      <c r="E366" s="113" t="s">
        <v>69</v>
      </c>
      <c r="F366" s="71" t="s">
        <v>71</v>
      </c>
      <c r="G366" s="67">
        <v>33901</v>
      </c>
      <c r="H366" s="166" t="s">
        <v>1096</v>
      </c>
      <c r="I366" s="71" t="s">
        <v>429</v>
      </c>
      <c r="J366" s="71" t="s">
        <v>90</v>
      </c>
      <c r="K366" s="67" t="s">
        <v>429</v>
      </c>
      <c r="L366" s="67" t="s">
        <v>429</v>
      </c>
      <c r="M366" s="67" t="s">
        <v>429</v>
      </c>
      <c r="N366" s="67">
        <v>4</v>
      </c>
      <c r="O366" s="163">
        <v>500</v>
      </c>
      <c r="P366" s="71" t="s">
        <v>380</v>
      </c>
      <c r="Q366" s="164">
        <f t="shared" si="17"/>
        <v>2000</v>
      </c>
      <c r="R366" s="164">
        <v>500</v>
      </c>
      <c r="S366" s="164">
        <v>0</v>
      </c>
      <c r="T366" s="164">
        <v>0</v>
      </c>
      <c r="U366" s="164">
        <v>500</v>
      </c>
      <c r="V366" s="164">
        <v>0</v>
      </c>
      <c r="W366" s="164">
        <v>0</v>
      </c>
      <c r="X366" s="164">
        <v>500</v>
      </c>
      <c r="Y366" s="164">
        <v>0</v>
      </c>
      <c r="Z366" s="164">
        <v>0</v>
      </c>
      <c r="AA366" s="164">
        <v>500</v>
      </c>
      <c r="AB366" s="164">
        <v>0</v>
      </c>
      <c r="AC366" s="164">
        <v>0</v>
      </c>
    </row>
    <row r="367" spans="1:29" s="165" customFormat="1" ht="15" customHeight="1" x14ac:dyDescent="0.3">
      <c r="A367" s="71" t="s">
        <v>1047</v>
      </c>
      <c r="B367" s="71" t="s">
        <v>1048</v>
      </c>
      <c r="C367" s="113" t="s">
        <v>69</v>
      </c>
      <c r="D367" s="71" t="s">
        <v>1049</v>
      </c>
      <c r="E367" s="113" t="s">
        <v>69</v>
      </c>
      <c r="F367" s="71" t="s">
        <v>71</v>
      </c>
      <c r="G367" s="67">
        <v>35501</v>
      </c>
      <c r="H367" s="166" t="s">
        <v>1097</v>
      </c>
      <c r="I367" s="71" t="s">
        <v>429</v>
      </c>
      <c r="J367" s="71" t="s">
        <v>90</v>
      </c>
      <c r="K367" s="67" t="s">
        <v>429</v>
      </c>
      <c r="L367" s="67" t="s">
        <v>429</v>
      </c>
      <c r="M367" s="67" t="s">
        <v>429</v>
      </c>
      <c r="N367" s="67">
        <v>3</v>
      </c>
      <c r="O367" s="163">
        <v>2500</v>
      </c>
      <c r="P367" s="71" t="s">
        <v>380</v>
      </c>
      <c r="Q367" s="164">
        <f t="shared" si="17"/>
        <v>7500</v>
      </c>
      <c r="R367" s="164">
        <v>0</v>
      </c>
      <c r="S367" s="164">
        <v>2500</v>
      </c>
      <c r="T367" s="164">
        <v>0</v>
      </c>
      <c r="U367" s="164">
        <v>0</v>
      </c>
      <c r="V367" s="164">
        <v>0</v>
      </c>
      <c r="W367" s="164">
        <v>2500</v>
      </c>
      <c r="X367" s="164">
        <v>0</v>
      </c>
      <c r="Y367" s="164">
        <v>0</v>
      </c>
      <c r="Z367" s="164">
        <v>0</v>
      </c>
      <c r="AA367" s="164">
        <v>2500</v>
      </c>
      <c r="AB367" s="164">
        <v>0</v>
      </c>
      <c r="AC367" s="164">
        <v>0</v>
      </c>
    </row>
    <row r="368" spans="1:29" s="165" customFormat="1" ht="14.4" customHeight="1" x14ac:dyDescent="0.3">
      <c r="A368" s="71" t="s">
        <v>1047</v>
      </c>
      <c r="B368" s="71" t="s">
        <v>1048</v>
      </c>
      <c r="C368" s="113">
        <v>119</v>
      </c>
      <c r="D368" s="71" t="s">
        <v>1049</v>
      </c>
      <c r="E368" s="113" t="s">
        <v>69</v>
      </c>
      <c r="F368" s="71" t="s">
        <v>444</v>
      </c>
      <c r="G368" s="67">
        <v>21601</v>
      </c>
      <c r="H368" s="71" t="s">
        <v>212</v>
      </c>
      <c r="I368" s="71" t="s">
        <v>1098</v>
      </c>
      <c r="J368" s="71" t="s">
        <v>1099</v>
      </c>
      <c r="K368" s="67" t="s">
        <v>1059</v>
      </c>
      <c r="L368" s="67" t="s">
        <v>1059</v>
      </c>
      <c r="M368" s="67" t="s">
        <v>383</v>
      </c>
      <c r="N368" s="67">
        <v>1</v>
      </c>
      <c r="O368" s="163">
        <v>2146</v>
      </c>
      <c r="P368" s="71" t="s">
        <v>380</v>
      </c>
      <c r="Q368" s="164">
        <f t="shared" si="17"/>
        <v>2146</v>
      </c>
      <c r="R368" s="164">
        <v>0</v>
      </c>
      <c r="S368" s="164">
        <v>0</v>
      </c>
      <c r="T368" s="164">
        <v>0</v>
      </c>
      <c r="U368" s="164">
        <v>0</v>
      </c>
      <c r="V368" s="164">
        <v>0</v>
      </c>
      <c r="W368" s="164">
        <v>0</v>
      </c>
      <c r="X368" s="164">
        <v>0</v>
      </c>
      <c r="Y368" s="164">
        <v>2146</v>
      </c>
      <c r="Z368" s="164">
        <v>0</v>
      </c>
      <c r="AA368" s="164">
        <v>0</v>
      </c>
      <c r="AB368" s="164">
        <v>0</v>
      </c>
      <c r="AC368" s="164">
        <v>0</v>
      </c>
    </row>
    <row r="369" spans="1:29" s="165" customFormat="1" ht="15" customHeight="1" x14ac:dyDescent="0.3">
      <c r="A369" s="71" t="s">
        <v>1047</v>
      </c>
      <c r="B369" s="71" t="s">
        <v>1048</v>
      </c>
      <c r="C369" s="113">
        <v>119</v>
      </c>
      <c r="D369" s="71" t="s">
        <v>1049</v>
      </c>
      <c r="E369" s="113" t="s">
        <v>69</v>
      </c>
      <c r="F369" s="71" t="s">
        <v>444</v>
      </c>
      <c r="G369" s="67">
        <v>21601</v>
      </c>
      <c r="H369" s="71" t="s">
        <v>212</v>
      </c>
      <c r="I369" s="71" t="s">
        <v>1100</v>
      </c>
      <c r="J369" s="71" t="s">
        <v>1101</v>
      </c>
      <c r="K369" s="67" t="s">
        <v>1059</v>
      </c>
      <c r="L369" s="67" t="s">
        <v>1059</v>
      </c>
      <c r="M369" s="67" t="s">
        <v>383</v>
      </c>
      <c r="N369" s="67">
        <v>6</v>
      </c>
      <c r="O369" s="163">
        <v>410.91</v>
      </c>
      <c r="P369" s="71" t="s">
        <v>380</v>
      </c>
      <c r="Q369" s="164">
        <f t="shared" si="17"/>
        <v>2465.48</v>
      </c>
      <c r="R369" s="164">
        <v>0</v>
      </c>
      <c r="S369" s="164">
        <v>0</v>
      </c>
      <c r="T369" s="164">
        <v>0</v>
      </c>
      <c r="U369" s="164">
        <v>0</v>
      </c>
      <c r="V369" s="164">
        <v>0</v>
      </c>
      <c r="W369" s="164">
        <v>1232.74</v>
      </c>
      <c r="X369" s="164">
        <v>0</v>
      </c>
      <c r="Y369" s="164">
        <v>0</v>
      </c>
      <c r="Z369" s="164">
        <v>0</v>
      </c>
      <c r="AA369" s="164">
        <v>0</v>
      </c>
      <c r="AB369" s="164">
        <v>1232.74</v>
      </c>
      <c r="AC369" s="164">
        <v>0</v>
      </c>
    </row>
    <row r="370" spans="1:29" s="165" customFormat="1" ht="15" customHeight="1" x14ac:dyDescent="0.3">
      <c r="A370" s="71" t="s">
        <v>1047</v>
      </c>
      <c r="B370" s="71" t="s">
        <v>1048</v>
      </c>
      <c r="C370" s="113">
        <v>119</v>
      </c>
      <c r="D370" s="71" t="s">
        <v>1049</v>
      </c>
      <c r="E370" s="113" t="s">
        <v>69</v>
      </c>
      <c r="F370" s="71" t="s">
        <v>444</v>
      </c>
      <c r="G370" s="67">
        <v>21601</v>
      </c>
      <c r="H370" s="71" t="s">
        <v>212</v>
      </c>
      <c r="I370" s="67" t="s">
        <v>349</v>
      </c>
      <c r="J370" s="71" t="s">
        <v>78</v>
      </c>
      <c r="K370" s="67" t="s">
        <v>1059</v>
      </c>
      <c r="L370" s="67" t="s">
        <v>1059</v>
      </c>
      <c r="M370" s="67" t="s">
        <v>383</v>
      </c>
      <c r="N370" s="67">
        <v>9</v>
      </c>
      <c r="O370" s="163">
        <v>98.6</v>
      </c>
      <c r="P370" s="71" t="s">
        <v>380</v>
      </c>
      <c r="Q370" s="164">
        <f t="shared" si="17"/>
        <v>887.4</v>
      </c>
      <c r="R370" s="164">
        <v>0</v>
      </c>
      <c r="S370" s="164">
        <v>887.4</v>
      </c>
      <c r="T370" s="164">
        <v>0</v>
      </c>
      <c r="U370" s="164">
        <v>0</v>
      </c>
      <c r="V370" s="164">
        <v>0</v>
      </c>
      <c r="W370" s="164">
        <v>0</v>
      </c>
      <c r="X370" s="164">
        <v>0</v>
      </c>
      <c r="Y370" s="164">
        <v>0</v>
      </c>
      <c r="Z370" s="164">
        <v>0</v>
      </c>
      <c r="AA370" s="164">
        <v>0</v>
      </c>
      <c r="AB370" s="164">
        <v>0</v>
      </c>
      <c r="AC370" s="164">
        <v>0</v>
      </c>
    </row>
    <row r="371" spans="1:29" s="165" customFormat="1" ht="15" customHeight="1" x14ac:dyDescent="0.3">
      <c r="A371" s="71" t="s">
        <v>1047</v>
      </c>
      <c r="B371" s="71" t="s">
        <v>1048</v>
      </c>
      <c r="C371" s="113">
        <v>119</v>
      </c>
      <c r="D371" s="71" t="s">
        <v>1049</v>
      </c>
      <c r="E371" s="113" t="s">
        <v>69</v>
      </c>
      <c r="F371" s="71" t="s">
        <v>444</v>
      </c>
      <c r="G371" s="67">
        <v>21601</v>
      </c>
      <c r="H371" s="71" t="s">
        <v>212</v>
      </c>
      <c r="I371" s="71" t="s">
        <v>634</v>
      </c>
      <c r="J371" s="71" t="s">
        <v>635</v>
      </c>
      <c r="K371" s="67" t="s">
        <v>1059</v>
      </c>
      <c r="L371" s="67" t="s">
        <v>1059</v>
      </c>
      <c r="M371" s="67" t="s">
        <v>383</v>
      </c>
      <c r="N371" s="67">
        <v>9</v>
      </c>
      <c r="O371" s="163">
        <v>56.56</v>
      </c>
      <c r="P371" s="71" t="s">
        <v>380</v>
      </c>
      <c r="Q371" s="164">
        <f t="shared" si="17"/>
        <v>501</v>
      </c>
      <c r="R371" s="164">
        <v>0</v>
      </c>
      <c r="S371" s="164">
        <v>0</v>
      </c>
      <c r="T371" s="164">
        <v>0</v>
      </c>
      <c r="U371" s="164">
        <v>501</v>
      </c>
      <c r="V371" s="164">
        <v>0</v>
      </c>
      <c r="W371" s="164">
        <v>0</v>
      </c>
      <c r="X371" s="164">
        <v>0</v>
      </c>
      <c r="Y371" s="164">
        <v>0</v>
      </c>
      <c r="Z371" s="164">
        <v>0</v>
      </c>
      <c r="AA371" s="164">
        <v>0</v>
      </c>
      <c r="AB371" s="164">
        <v>0</v>
      </c>
      <c r="AC371" s="164">
        <v>0</v>
      </c>
    </row>
    <row r="372" spans="1:29" s="165" customFormat="1" ht="15" customHeight="1" x14ac:dyDescent="0.3">
      <c r="A372" s="71" t="s">
        <v>1047</v>
      </c>
      <c r="B372" s="71" t="s">
        <v>1048</v>
      </c>
      <c r="C372" s="113">
        <v>119</v>
      </c>
      <c r="D372" s="71" t="s">
        <v>1049</v>
      </c>
      <c r="E372" s="113" t="s">
        <v>69</v>
      </c>
      <c r="F372" s="71" t="s">
        <v>444</v>
      </c>
      <c r="G372" s="67">
        <v>25301</v>
      </c>
      <c r="H372" s="71" t="s">
        <v>1085</v>
      </c>
      <c r="I372" s="71" t="s">
        <v>1102</v>
      </c>
      <c r="J372" s="71" t="s">
        <v>1103</v>
      </c>
      <c r="K372" s="67" t="s">
        <v>1059</v>
      </c>
      <c r="L372" s="67" t="s">
        <v>1059</v>
      </c>
      <c r="M372" s="67" t="s">
        <v>383</v>
      </c>
      <c r="N372" s="67">
        <v>9</v>
      </c>
      <c r="O372" s="163">
        <v>1588.03</v>
      </c>
      <c r="P372" s="71" t="s">
        <v>380</v>
      </c>
      <c r="Q372" s="164">
        <f t="shared" si="17"/>
        <v>14292.29</v>
      </c>
      <c r="R372" s="164">
        <v>0</v>
      </c>
      <c r="S372" s="164">
        <v>3176.01</v>
      </c>
      <c r="T372" s="164">
        <v>0</v>
      </c>
      <c r="U372" s="164">
        <v>0</v>
      </c>
      <c r="V372" s="164">
        <v>0</v>
      </c>
      <c r="W372" s="164">
        <v>0</v>
      </c>
      <c r="X372" s="164">
        <v>0</v>
      </c>
      <c r="Y372" s="164">
        <v>11116.28</v>
      </c>
      <c r="Z372" s="164">
        <v>0</v>
      </c>
      <c r="AA372" s="164">
        <v>0</v>
      </c>
      <c r="AB372" s="164">
        <v>0</v>
      </c>
      <c r="AC372" s="164">
        <v>0</v>
      </c>
    </row>
    <row r="373" spans="1:29" s="165" customFormat="1" ht="15" customHeight="1" x14ac:dyDescent="0.3">
      <c r="A373" s="71" t="s">
        <v>1047</v>
      </c>
      <c r="B373" s="71" t="s">
        <v>1048</v>
      </c>
      <c r="C373" s="113">
        <v>119</v>
      </c>
      <c r="D373" s="71" t="s">
        <v>1049</v>
      </c>
      <c r="E373" s="113" t="s">
        <v>69</v>
      </c>
      <c r="F373" s="71" t="s">
        <v>444</v>
      </c>
      <c r="G373" s="67">
        <v>25301</v>
      </c>
      <c r="H373" s="71" t="s">
        <v>1085</v>
      </c>
      <c r="I373" s="71" t="s">
        <v>1104</v>
      </c>
      <c r="J373" s="71" t="s">
        <v>1105</v>
      </c>
      <c r="K373" s="67" t="s">
        <v>1059</v>
      </c>
      <c r="L373" s="67" t="s">
        <v>1059</v>
      </c>
      <c r="M373" s="67" t="s">
        <v>383</v>
      </c>
      <c r="N373" s="67">
        <v>30</v>
      </c>
      <c r="O373" s="163">
        <v>68.180000000000007</v>
      </c>
      <c r="P373" s="71" t="s">
        <v>380</v>
      </c>
      <c r="Q373" s="164">
        <f t="shared" si="17"/>
        <v>2045.42</v>
      </c>
      <c r="R373" s="164">
        <v>556.79999999999995</v>
      </c>
      <c r="S373" s="164">
        <v>0</v>
      </c>
      <c r="T373" s="164">
        <v>0</v>
      </c>
      <c r="U373" s="164">
        <v>1036.22</v>
      </c>
      <c r="V373" s="164">
        <v>0</v>
      </c>
      <c r="W373" s="164">
        <v>452.4</v>
      </c>
      <c r="X373" s="164">
        <v>0</v>
      </c>
      <c r="Y373" s="164">
        <v>0</v>
      </c>
      <c r="Z373" s="164">
        <v>0</v>
      </c>
      <c r="AA373" s="164">
        <v>0</v>
      </c>
      <c r="AB373" s="164">
        <v>0</v>
      </c>
      <c r="AC373" s="164">
        <v>0</v>
      </c>
    </row>
    <row r="374" spans="1:29" s="165" customFormat="1" ht="15" customHeight="1" x14ac:dyDescent="0.3">
      <c r="A374" s="71" t="s">
        <v>1047</v>
      </c>
      <c r="B374" s="71" t="s">
        <v>1048</v>
      </c>
      <c r="C374" s="113">
        <v>119</v>
      </c>
      <c r="D374" s="71" t="s">
        <v>1049</v>
      </c>
      <c r="E374" s="113" t="s">
        <v>69</v>
      </c>
      <c r="F374" s="71" t="s">
        <v>444</v>
      </c>
      <c r="G374" s="67">
        <v>25401</v>
      </c>
      <c r="H374" s="71" t="s">
        <v>1106</v>
      </c>
      <c r="I374" s="71" t="s">
        <v>366</v>
      </c>
      <c r="J374" s="71" t="s">
        <v>486</v>
      </c>
      <c r="K374" s="67" t="s">
        <v>1059</v>
      </c>
      <c r="L374" s="67" t="s">
        <v>1059</v>
      </c>
      <c r="M374" s="67" t="s">
        <v>55</v>
      </c>
      <c r="N374" s="67">
        <v>100</v>
      </c>
      <c r="O374" s="163">
        <v>80.180000000000007</v>
      </c>
      <c r="P374" s="71" t="s">
        <v>380</v>
      </c>
      <c r="Q374" s="164">
        <f t="shared" si="17"/>
        <v>8000</v>
      </c>
      <c r="R374" s="164">
        <v>0</v>
      </c>
      <c r="S374" s="164">
        <v>0</v>
      </c>
      <c r="T374" s="164">
        <v>0</v>
      </c>
      <c r="U374" s="164">
        <v>4024</v>
      </c>
      <c r="V374" s="164">
        <v>0</v>
      </c>
      <c r="W374" s="164">
        <v>3976</v>
      </c>
      <c r="X374" s="164">
        <v>0</v>
      </c>
      <c r="Y374" s="164">
        <v>0</v>
      </c>
      <c r="Z374" s="164">
        <v>0</v>
      </c>
      <c r="AA374" s="164">
        <v>0</v>
      </c>
      <c r="AB374" s="164">
        <v>0</v>
      </c>
      <c r="AC374" s="164">
        <v>0</v>
      </c>
    </row>
    <row r="375" spans="1:29" s="165" customFormat="1" ht="15" customHeight="1" x14ac:dyDescent="0.3">
      <c r="A375" s="71" t="s">
        <v>1047</v>
      </c>
      <c r="B375" s="71" t="s">
        <v>1048</v>
      </c>
      <c r="C375" s="113" t="s">
        <v>69</v>
      </c>
      <c r="D375" s="71" t="s">
        <v>74</v>
      </c>
      <c r="E375" s="113" t="s">
        <v>572</v>
      </c>
      <c r="F375" s="71" t="s">
        <v>75</v>
      </c>
      <c r="G375" s="67">
        <v>37901</v>
      </c>
      <c r="H375" s="81" t="s">
        <v>1107</v>
      </c>
      <c r="I375" s="71" t="s">
        <v>429</v>
      </c>
      <c r="J375" s="71" t="s">
        <v>90</v>
      </c>
      <c r="K375" s="67" t="s">
        <v>1059</v>
      </c>
      <c r="L375" s="67" t="s">
        <v>1059</v>
      </c>
      <c r="M375" s="67" t="s">
        <v>429</v>
      </c>
      <c r="N375" s="67">
        <v>12</v>
      </c>
      <c r="O375" s="163">
        <v>3442.5</v>
      </c>
      <c r="P375" s="71" t="s">
        <v>380</v>
      </c>
      <c r="Q375" s="164">
        <f t="shared" si="17"/>
        <v>41310</v>
      </c>
      <c r="R375" s="164">
        <v>3240</v>
      </c>
      <c r="S375" s="164">
        <v>3240</v>
      </c>
      <c r="T375" s="164">
        <v>3240</v>
      </c>
      <c r="U375" s="164">
        <v>3240</v>
      </c>
      <c r="V375" s="164">
        <v>3240</v>
      </c>
      <c r="W375" s="164">
        <v>3240</v>
      </c>
      <c r="X375" s="164">
        <v>3240</v>
      </c>
      <c r="Y375" s="164">
        <v>3240</v>
      </c>
      <c r="Z375" s="164">
        <v>4050</v>
      </c>
      <c r="AA375" s="164">
        <v>4050</v>
      </c>
      <c r="AB375" s="164">
        <v>4050</v>
      </c>
      <c r="AC375" s="164">
        <v>3240</v>
      </c>
    </row>
    <row r="376" spans="1:29" s="165" customFormat="1" ht="15" customHeight="1" x14ac:dyDescent="0.3">
      <c r="A376" s="71" t="s">
        <v>1047</v>
      </c>
      <c r="B376" s="71" t="s">
        <v>1048</v>
      </c>
      <c r="C376" s="113" t="s">
        <v>69</v>
      </c>
      <c r="D376" s="71" t="s">
        <v>74</v>
      </c>
      <c r="E376" s="113">
        <v>45</v>
      </c>
      <c r="F376" s="71" t="s">
        <v>71</v>
      </c>
      <c r="G376" s="67">
        <v>21601</v>
      </c>
      <c r="H376" s="71" t="s">
        <v>212</v>
      </c>
      <c r="I376" s="71" t="s">
        <v>538</v>
      </c>
      <c r="J376" s="71" t="s">
        <v>539</v>
      </c>
      <c r="K376" s="67" t="s">
        <v>1059</v>
      </c>
      <c r="L376" s="67" t="s">
        <v>1059</v>
      </c>
      <c r="M376" s="67" t="s">
        <v>55</v>
      </c>
      <c r="N376" s="67">
        <v>2</v>
      </c>
      <c r="O376" s="163">
        <v>500</v>
      </c>
      <c r="P376" s="71" t="s">
        <v>380</v>
      </c>
      <c r="Q376" s="164">
        <f t="shared" si="17"/>
        <v>1000</v>
      </c>
      <c r="R376" s="164">
        <v>0</v>
      </c>
      <c r="S376" s="164">
        <v>1000</v>
      </c>
      <c r="T376" s="164">
        <v>0</v>
      </c>
      <c r="U376" s="164">
        <v>0</v>
      </c>
      <c r="V376" s="164">
        <v>0</v>
      </c>
      <c r="W376" s="164">
        <v>0</v>
      </c>
      <c r="X376" s="164">
        <v>0</v>
      </c>
      <c r="Y376" s="164">
        <v>0</v>
      </c>
      <c r="Z376" s="164">
        <v>0</v>
      </c>
      <c r="AA376" s="164">
        <v>0</v>
      </c>
      <c r="AB376" s="164">
        <v>0</v>
      </c>
      <c r="AC376" s="164">
        <v>0</v>
      </c>
    </row>
    <row r="377" spans="1:29" s="165" customFormat="1" ht="15" customHeight="1" x14ac:dyDescent="0.3">
      <c r="A377" s="71" t="s">
        <v>1047</v>
      </c>
      <c r="B377" s="71" t="s">
        <v>1048</v>
      </c>
      <c r="C377" s="113" t="s">
        <v>69</v>
      </c>
      <c r="D377" s="71" t="s">
        <v>74</v>
      </c>
      <c r="E377" s="113" t="s">
        <v>455</v>
      </c>
      <c r="F377" s="71" t="s">
        <v>444</v>
      </c>
      <c r="G377" s="67">
        <v>21601</v>
      </c>
      <c r="H377" s="71" t="s">
        <v>212</v>
      </c>
      <c r="I377" s="67" t="s">
        <v>349</v>
      </c>
      <c r="J377" s="71" t="s">
        <v>78</v>
      </c>
      <c r="K377" s="67" t="s">
        <v>1059</v>
      </c>
      <c r="L377" s="67" t="s">
        <v>1059</v>
      </c>
      <c r="M377" s="67" t="s">
        <v>383</v>
      </c>
      <c r="N377" s="67">
        <v>25</v>
      </c>
      <c r="O377" s="163">
        <v>240</v>
      </c>
      <c r="P377" s="71" t="s">
        <v>380</v>
      </c>
      <c r="Q377" s="164">
        <f t="shared" si="17"/>
        <v>6000</v>
      </c>
      <c r="R377" s="164">
        <v>0</v>
      </c>
      <c r="S377" s="164">
        <v>0</v>
      </c>
      <c r="T377" s="164">
        <v>0</v>
      </c>
      <c r="U377" s="164">
        <v>1388.52</v>
      </c>
      <c r="V377" s="164">
        <v>0</v>
      </c>
      <c r="W377" s="164">
        <v>4611.4799999999996</v>
      </c>
      <c r="X377" s="164">
        <v>0</v>
      </c>
      <c r="Y377" s="164">
        <v>0</v>
      </c>
      <c r="Z377" s="164">
        <v>0</v>
      </c>
      <c r="AA377" s="164">
        <v>0</v>
      </c>
      <c r="AB377" s="164">
        <v>0</v>
      </c>
      <c r="AC377" s="164">
        <v>0</v>
      </c>
    </row>
    <row r="378" spans="1:29" s="165" customFormat="1" ht="15" customHeight="1" x14ac:dyDescent="0.3">
      <c r="A378" s="71" t="s">
        <v>1047</v>
      </c>
      <c r="B378" s="71" t="s">
        <v>1048</v>
      </c>
      <c r="C378" s="113" t="s">
        <v>69</v>
      </c>
      <c r="D378" s="71" t="s">
        <v>74</v>
      </c>
      <c r="E378" s="113" t="s">
        <v>455</v>
      </c>
      <c r="F378" s="71" t="s">
        <v>444</v>
      </c>
      <c r="G378" s="67">
        <v>25401</v>
      </c>
      <c r="H378" s="71" t="s">
        <v>1106</v>
      </c>
      <c r="I378" s="71" t="s">
        <v>366</v>
      </c>
      <c r="J378" s="71" t="s">
        <v>486</v>
      </c>
      <c r="K378" s="67" t="s">
        <v>1059</v>
      </c>
      <c r="L378" s="67" t="s">
        <v>1059</v>
      </c>
      <c r="M378" s="67" t="s">
        <v>55</v>
      </c>
      <c r="N378" s="67">
        <v>164</v>
      </c>
      <c r="O378" s="163">
        <v>48.78</v>
      </c>
      <c r="P378" s="71" t="s">
        <v>380</v>
      </c>
      <c r="Q378" s="164">
        <f t="shared" si="17"/>
        <v>8018.4</v>
      </c>
      <c r="R378" s="164">
        <v>1948.8</v>
      </c>
      <c r="S378" s="164">
        <v>2043.6</v>
      </c>
      <c r="T378" s="164">
        <v>0</v>
      </c>
      <c r="U378" s="164">
        <v>3220</v>
      </c>
      <c r="V378" s="164">
        <v>0</v>
      </c>
      <c r="W378" s="164">
        <v>0</v>
      </c>
      <c r="X378" s="164">
        <v>0</v>
      </c>
      <c r="Y378" s="164">
        <v>806</v>
      </c>
      <c r="Z378" s="164">
        <v>0</v>
      </c>
      <c r="AA378" s="164">
        <v>0</v>
      </c>
      <c r="AB378" s="164">
        <v>0</v>
      </c>
      <c r="AC378" s="164">
        <v>0</v>
      </c>
    </row>
    <row r="379" spans="1:29" s="165" customFormat="1" ht="15" customHeight="1" x14ac:dyDescent="0.3">
      <c r="A379" s="71" t="s">
        <v>1047</v>
      </c>
      <c r="B379" s="71" t="s">
        <v>1048</v>
      </c>
      <c r="C379" s="113" t="s">
        <v>69</v>
      </c>
      <c r="D379" s="71" t="s">
        <v>74</v>
      </c>
      <c r="E379" s="113" t="s">
        <v>455</v>
      </c>
      <c r="F379" s="71" t="s">
        <v>444</v>
      </c>
      <c r="G379" s="67">
        <v>24901</v>
      </c>
      <c r="H379" s="71" t="s">
        <v>1108</v>
      </c>
      <c r="I379" s="71" t="s">
        <v>1109</v>
      </c>
      <c r="J379" s="71" t="s">
        <v>1110</v>
      </c>
      <c r="K379" s="67" t="s">
        <v>1059</v>
      </c>
      <c r="L379" s="67" t="s">
        <v>1059</v>
      </c>
      <c r="M379" s="67" t="s">
        <v>383</v>
      </c>
      <c r="N379" s="67">
        <v>8</v>
      </c>
      <c r="O379" s="163">
        <v>4562.5</v>
      </c>
      <c r="P379" s="71" t="s">
        <v>380</v>
      </c>
      <c r="Q379" s="164">
        <f t="shared" si="17"/>
        <v>36500</v>
      </c>
      <c r="R379" s="164">
        <v>0</v>
      </c>
      <c r="S379" s="164">
        <v>7429.8</v>
      </c>
      <c r="T379" s="164">
        <v>0</v>
      </c>
      <c r="U379" s="164">
        <v>7429.8</v>
      </c>
      <c r="V379" s="164">
        <v>0</v>
      </c>
      <c r="W379" s="164">
        <v>21640.400000000001</v>
      </c>
      <c r="X379" s="164">
        <v>0</v>
      </c>
      <c r="Y379" s="164">
        <v>0</v>
      </c>
      <c r="Z379" s="164">
        <v>0</v>
      </c>
      <c r="AA379" s="164">
        <v>0</v>
      </c>
      <c r="AB379" s="164">
        <v>0</v>
      </c>
      <c r="AC379" s="164">
        <v>0</v>
      </c>
    </row>
    <row r="380" spans="1:29" s="165" customFormat="1" ht="15" customHeight="1" x14ac:dyDescent="0.3">
      <c r="A380" s="71" t="s">
        <v>1047</v>
      </c>
      <c r="B380" s="71" t="s">
        <v>1048</v>
      </c>
      <c r="C380" s="113" t="s">
        <v>69</v>
      </c>
      <c r="D380" s="71" t="s">
        <v>74</v>
      </c>
      <c r="E380" s="113">
        <v>45</v>
      </c>
      <c r="F380" s="71" t="s">
        <v>71</v>
      </c>
      <c r="G380" s="67">
        <v>21101</v>
      </c>
      <c r="H380" s="71" t="s">
        <v>211</v>
      </c>
      <c r="I380" s="67" t="s">
        <v>501</v>
      </c>
      <c r="J380" s="71" t="s">
        <v>502</v>
      </c>
      <c r="K380" s="67" t="s">
        <v>1059</v>
      </c>
      <c r="L380" s="67" t="s">
        <v>1059</v>
      </c>
      <c r="M380" s="67" t="s">
        <v>55</v>
      </c>
      <c r="N380" s="67">
        <v>11</v>
      </c>
      <c r="O380" s="163">
        <v>1862.63</v>
      </c>
      <c r="P380" s="71" t="s">
        <v>380</v>
      </c>
      <c r="Q380" s="164">
        <f t="shared" si="17"/>
        <v>20489.489999999998</v>
      </c>
      <c r="R380" s="167">
        <v>0</v>
      </c>
      <c r="S380" s="167">
        <v>0</v>
      </c>
      <c r="T380" s="167">
        <v>0</v>
      </c>
      <c r="U380" s="167">
        <v>5346.35</v>
      </c>
      <c r="V380" s="167">
        <v>0</v>
      </c>
      <c r="W380" s="167">
        <v>5167.79</v>
      </c>
      <c r="X380" s="167">
        <v>0</v>
      </c>
      <c r="Y380" s="167">
        <v>5293.59</v>
      </c>
      <c r="Z380" s="164">
        <v>0</v>
      </c>
      <c r="AA380" s="164">
        <v>4681.76</v>
      </c>
      <c r="AB380" s="164">
        <v>0</v>
      </c>
      <c r="AC380" s="164">
        <v>0</v>
      </c>
    </row>
    <row r="381" spans="1:29" s="165" customFormat="1" ht="15" customHeight="1" x14ac:dyDescent="0.3">
      <c r="A381" s="71" t="s">
        <v>1047</v>
      </c>
      <c r="B381" s="71" t="s">
        <v>1048</v>
      </c>
      <c r="C381" s="113" t="s">
        <v>69</v>
      </c>
      <c r="D381" s="71" t="s">
        <v>74</v>
      </c>
      <c r="E381" s="113">
        <v>45</v>
      </c>
      <c r="F381" s="71" t="s">
        <v>71</v>
      </c>
      <c r="G381" s="67">
        <v>21101</v>
      </c>
      <c r="H381" s="71" t="s">
        <v>211</v>
      </c>
      <c r="I381" s="67" t="s">
        <v>501</v>
      </c>
      <c r="J381" s="71" t="s">
        <v>502</v>
      </c>
      <c r="K381" s="67" t="s">
        <v>1059</v>
      </c>
      <c r="L381" s="67" t="s">
        <v>1059</v>
      </c>
      <c r="M381" s="67" t="s">
        <v>55</v>
      </c>
      <c r="N381" s="67">
        <v>5</v>
      </c>
      <c r="O381" s="163">
        <v>1902.2</v>
      </c>
      <c r="P381" s="71" t="s">
        <v>380</v>
      </c>
      <c r="Q381" s="164">
        <f t="shared" si="17"/>
        <v>9510.51</v>
      </c>
      <c r="R381" s="167">
        <v>0</v>
      </c>
      <c r="S381" s="167">
        <v>4216.92</v>
      </c>
      <c r="T381" s="167">
        <v>0</v>
      </c>
      <c r="U381" s="167">
        <v>0</v>
      </c>
      <c r="V381" s="167">
        <v>0</v>
      </c>
      <c r="W381" s="167">
        <v>0</v>
      </c>
      <c r="X381" s="167">
        <v>0</v>
      </c>
      <c r="Y381" s="167">
        <v>5293.59</v>
      </c>
      <c r="Z381" s="164">
        <v>0</v>
      </c>
      <c r="AA381" s="164">
        <v>0</v>
      </c>
      <c r="AB381" s="164">
        <v>0</v>
      </c>
      <c r="AC381" s="164">
        <v>0</v>
      </c>
    </row>
    <row r="382" spans="1:29" s="165" customFormat="1" ht="15" customHeight="1" x14ac:dyDescent="0.3">
      <c r="A382" s="71" t="s">
        <v>1047</v>
      </c>
      <c r="B382" s="71" t="s">
        <v>1048</v>
      </c>
      <c r="C382" s="113" t="s">
        <v>69</v>
      </c>
      <c r="D382" s="71" t="s">
        <v>74</v>
      </c>
      <c r="E382" s="113">
        <v>45</v>
      </c>
      <c r="F382" s="71" t="s">
        <v>87</v>
      </c>
      <c r="G382" s="67">
        <v>22104</v>
      </c>
      <c r="H382" s="71" t="s">
        <v>1078</v>
      </c>
      <c r="I382" s="71" t="s">
        <v>1079</v>
      </c>
      <c r="J382" s="71" t="s">
        <v>692</v>
      </c>
      <c r="K382" s="67" t="s">
        <v>1059</v>
      </c>
      <c r="L382" s="67" t="s">
        <v>1059</v>
      </c>
      <c r="M382" s="67" t="s">
        <v>56</v>
      </c>
      <c r="N382" s="67">
        <v>120</v>
      </c>
      <c r="O382" s="163">
        <v>100</v>
      </c>
      <c r="P382" s="71" t="s">
        <v>380</v>
      </c>
      <c r="Q382" s="164">
        <f t="shared" si="17"/>
        <v>12000</v>
      </c>
      <c r="R382" s="164">
        <v>1000</v>
      </c>
      <c r="S382" s="164">
        <v>1000</v>
      </c>
      <c r="T382" s="164">
        <v>1000</v>
      </c>
      <c r="U382" s="164">
        <v>1000</v>
      </c>
      <c r="V382" s="164">
        <v>1000</v>
      </c>
      <c r="W382" s="164">
        <v>1000</v>
      </c>
      <c r="X382" s="164">
        <v>1000</v>
      </c>
      <c r="Y382" s="164">
        <v>1000</v>
      </c>
      <c r="Z382" s="164">
        <v>1000</v>
      </c>
      <c r="AA382" s="164">
        <v>1000</v>
      </c>
      <c r="AB382" s="164">
        <v>1000</v>
      </c>
      <c r="AC382" s="164">
        <v>1000</v>
      </c>
    </row>
    <row r="383" spans="1:29" s="165" customFormat="1" ht="15" customHeight="1" x14ac:dyDescent="0.3">
      <c r="A383" s="71" t="s">
        <v>1047</v>
      </c>
      <c r="B383" s="71" t="s">
        <v>1048</v>
      </c>
      <c r="C383" s="113" t="s">
        <v>69</v>
      </c>
      <c r="D383" s="71" t="s">
        <v>74</v>
      </c>
      <c r="E383" s="113" t="s">
        <v>455</v>
      </c>
      <c r="F383" s="71" t="s">
        <v>87</v>
      </c>
      <c r="G383" s="67">
        <v>29301</v>
      </c>
      <c r="H383" s="71" t="s">
        <v>1111</v>
      </c>
      <c r="I383" s="71" t="s">
        <v>1112</v>
      </c>
      <c r="J383" s="71" t="s">
        <v>1113</v>
      </c>
      <c r="K383" s="67" t="s">
        <v>1059</v>
      </c>
      <c r="L383" s="67" t="s">
        <v>1059</v>
      </c>
      <c r="M383" s="67" t="s">
        <v>383</v>
      </c>
      <c r="N383" s="67">
        <v>5</v>
      </c>
      <c r="O383" s="163">
        <v>1100</v>
      </c>
      <c r="P383" s="71" t="s">
        <v>380</v>
      </c>
      <c r="Q383" s="164">
        <f t="shared" si="17"/>
        <v>5500</v>
      </c>
      <c r="R383" s="164">
        <v>0</v>
      </c>
      <c r="S383" s="164">
        <v>5500</v>
      </c>
      <c r="T383" s="164">
        <v>0</v>
      </c>
      <c r="U383" s="164">
        <v>0</v>
      </c>
      <c r="V383" s="164">
        <v>0</v>
      </c>
      <c r="W383" s="164">
        <v>0</v>
      </c>
      <c r="X383" s="164">
        <v>0</v>
      </c>
      <c r="Y383" s="164">
        <v>0</v>
      </c>
      <c r="Z383" s="164">
        <v>0</v>
      </c>
      <c r="AA383" s="164">
        <v>0</v>
      </c>
      <c r="AB383" s="164">
        <v>0</v>
      </c>
      <c r="AC383" s="164">
        <v>0</v>
      </c>
    </row>
    <row r="384" spans="1:29" s="165" customFormat="1" ht="15" customHeight="1" x14ac:dyDescent="0.3">
      <c r="A384" s="71" t="s">
        <v>1047</v>
      </c>
      <c r="B384" s="71" t="s">
        <v>1048</v>
      </c>
      <c r="C384" s="113" t="s">
        <v>69</v>
      </c>
      <c r="D384" s="71" t="s">
        <v>74</v>
      </c>
      <c r="E384" s="113" t="s">
        <v>455</v>
      </c>
      <c r="F384" s="71" t="s">
        <v>87</v>
      </c>
      <c r="G384" s="67">
        <v>29401</v>
      </c>
      <c r="H384" s="71" t="s">
        <v>422</v>
      </c>
      <c r="I384" s="71" t="s">
        <v>1114</v>
      </c>
      <c r="J384" s="71" t="s">
        <v>1115</v>
      </c>
      <c r="K384" s="67" t="s">
        <v>1059</v>
      </c>
      <c r="L384" s="67" t="s">
        <v>1059</v>
      </c>
      <c r="M384" s="67" t="s">
        <v>383</v>
      </c>
      <c r="N384" s="67">
        <v>4</v>
      </c>
      <c r="O384" s="163">
        <v>761.36</v>
      </c>
      <c r="P384" s="71" t="s">
        <v>380</v>
      </c>
      <c r="Q384" s="164">
        <f t="shared" si="17"/>
        <v>3045.44</v>
      </c>
      <c r="R384" s="164">
        <v>0</v>
      </c>
      <c r="S384" s="164">
        <v>3045.44</v>
      </c>
      <c r="T384" s="164">
        <v>0</v>
      </c>
      <c r="U384" s="164">
        <v>0</v>
      </c>
      <c r="V384" s="164">
        <v>0</v>
      </c>
      <c r="W384" s="164">
        <v>0</v>
      </c>
      <c r="X384" s="164">
        <v>0</v>
      </c>
      <c r="Y384" s="164">
        <v>0</v>
      </c>
      <c r="Z384" s="164">
        <v>0</v>
      </c>
      <c r="AA384" s="164">
        <v>0</v>
      </c>
      <c r="AB384" s="164">
        <v>0</v>
      </c>
      <c r="AC384" s="164">
        <v>0</v>
      </c>
    </row>
    <row r="385" spans="1:29" s="165" customFormat="1" ht="15.6" customHeight="1" x14ac:dyDescent="0.3">
      <c r="A385" s="71" t="s">
        <v>1047</v>
      </c>
      <c r="B385" s="71" t="s">
        <v>1048</v>
      </c>
      <c r="C385" s="113" t="s">
        <v>69</v>
      </c>
      <c r="D385" s="71" t="s">
        <v>74</v>
      </c>
      <c r="E385" s="113" t="s">
        <v>455</v>
      </c>
      <c r="F385" s="71" t="s">
        <v>87</v>
      </c>
      <c r="G385" s="67">
        <v>29401</v>
      </c>
      <c r="H385" s="71" t="s">
        <v>422</v>
      </c>
      <c r="I385" s="71" t="s">
        <v>1116</v>
      </c>
      <c r="J385" s="71" t="s">
        <v>1117</v>
      </c>
      <c r="K385" s="67" t="s">
        <v>1059</v>
      </c>
      <c r="L385" s="67" t="s">
        <v>1059</v>
      </c>
      <c r="M385" s="67" t="s">
        <v>383</v>
      </c>
      <c r="N385" s="67">
        <v>2</v>
      </c>
      <c r="O385" s="163">
        <v>1227.28</v>
      </c>
      <c r="P385" s="71" t="s">
        <v>380</v>
      </c>
      <c r="Q385" s="164">
        <f t="shared" si="17"/>
        <v>2454.56</v>
      </c>
      <c r="R385" s="164">
        <v>0</v>
      </c>
      <c r="S385" s="164">
        <v>0</v>
      </c>
      <c r="T385" s="164">
        <v>0</v>
      </c>
      <c r="U385" s="164">
        <v>2454.56</v>
      </c>
      <c r="V385" s="164">
        <v>0</v>
      </c>
      <c r="W385" s="164">
        <v>0</v>
      </c>
      <c r="X385" s="164">
        <v>0</v>
      </c>
      <c r="Y385" s="164">
        <v>0</v>
      </c>
      <c r="Z385" s="164">
        <v>0</v>
      </c>
      <c r="AA385" s="164">
        <v>0</v>
      </c>
      <c r="AB385" s="164">
        <v>0</v>
      </c>
      <c r="AC385" s="164">
        <v>0</v>
      </c>
    </row>
    <row r="386" spans="1:29" s="165" customFormat="1" ht="15" customHeight="1" x14ac:dyDescent="0.3">
      <c r="A386" s="71" t="s">
        <v>1047</v>
      </c>
      <c r="B386" s="71" t="s">
        <v>1048</v>
      </c>
      <c r="C386" s="113" t="s">
        <v>69</v>
      </c>
      <c r="D386" s="71" t="s">
        <v>74</v>
      </c>
      <c r="E386" s="113">
        <v>45</v>
      </c>
      <c r="F386" s="71" t="s">
        <v>87</v>
      </c>
      <c r="G386" s="67">
        <v>24601</v>
      </c>
      <c r="H386" s="71" t="s">
        <v>1080</v>
      </c>
      <c r="I386" s="71" t="s">
        <v>1118</v>
      </c>
      <c r="J386" s="71" t="s">
        <v>1119</v>
      </c>
      <c r="K386" s="67" t="s">
        <v>1059</v>
      </c>
      <c r="L386" s="67" t="s">
        <v>1059</v>
      </c>
      <c r="M386" s="67" t="s">
        <v>56</v>
      </c>
      <c r="N386" s="67">
        <v>12</v>
      </c>
      <c r="O386" s="163">
        <v>125</v>
      </c>
      <c r="P386" s="71" t="s">
        <v>380</v>
      </c>
      <c r="Q386" s="164">
        <f t="shared" si="17"/>
        <v>1500</v>
      </c>
      <c r="R386" s="164">
        <v>0</v>
      </c>
      <c r="S386" s="164">
        <v>1500</v>
      </c>
      <c r="T386" s="164">
        <v>0</v>
      </c>
      <c r="U386" s="164">
        <v>0</v>
      </c>
      <c r="V386" s="164">
        <v>0</v>
      </c>
      <c r="W386" s="164">
        <v>0</v>
      </c>
      <c r="X386" s="164">
        <v>0</v>
      </c>
      <c r="Y386" s="164">
        <v>0</v>
      </c>
      <c r="Z386" s="164">
        <v>0</v>
      </c>
      <c r="AA386" s="164">
        <v>0</v>
      </c>
      <c r="AB386" s="164">
        <v>0</v>
      </c>
      <c r="AC386" s="164">
        <v>0</v>
      </c>
    </row>
    <row r="387" spans="1:29" s="165" customFormat="1" ht="15" customHeight="1" x14ac:dyDescent="0.3">
      <c r="A387" s="71" t="s">
        <v>1047</v>
      </c>
      <c r="B387" s="71" t="s">
        <v>1048</v>
      </c>
      <c r="C387" s="113" t="s">
        <v>69</v>
      </c>
      <c r="D387" s="71" t="s">
        <v>74</v>
      </c>
      <c r="E387" s="113" t="s">
        <v>455</v>
      </c>
      <c r="F387" s="71" t="s">
        <v>87</v>
      </c>
      <c r="G387" s="67">
        <v>31401</v>
      </c>
      <c r="H387" s="71" t="s">
        <v>742</v>
      </c>
      <c r="I387" s="71" t="s">
        <v>429</v>
      </c>
      <c r="J387" s="71" t="s">
        <v>742</v>
      </c>
      <c r="K387" s="67" t="s">
        <v>1059</v>
      </c>
      <c r="L387" s="67" t="s">
        <v>1059</v>
      </c>
      <c r="M387" s="67" t="s">
        <v>429</v>
      </c>
      <c r="N387" s="67">
        <v>12</v>
      </c>
      <c r="O387" s="163">
        <v>1000</v>
      </c>
      <c r="P387" s="71" t="s">
        <v>380</v>
      </c>
      <c r="Q387" s="164">
        <f t="shared" si="17"/>
        <v>12000</v>
      </c>
      <c r="R387" s="164">
        <v>1000</v>
      </c>
      <c r="S387" s="164">
        <v>1000</v>
      </c>
      <c r="T387" s="164">
        <v>1000</v>
      </c>
      <c r="U387" s="164">
        <v>1000</v>
      </c>
      <c r="V387" s="164">
        <v>1000</v>
      </c>
      <c r="W387" s="164">
        <v>1000</v>
      </c>
      <c r="X387" s="164">
        <v>1000</v>
      </c>
      <c r="Y387" s="164">
        <v>1000</v>
      </c>
      <c r="Z387" s="164">
        <v>1000</v>
      </c>
      <c r="AA387" s="164">
        <v>1000</v>
      </c>
      <c r="AB387" s="164">
        <v>1000</v>
      </c>
      <c r="AC387" s="164">
        <v>1000</v>
      </c>
    </row>
    <row r="388" spans="1:29" s="165" customFormat="1" ht="15" customHeight="1" x14ac:dyDescent="0.3">
      <c r="A388" s="71" t="s">
        <v>1047</v>
      </c>
      <c r="B388" s="71" t="s">
        <v>1048</v>
      </c>
      <c r="C388" s="113" t="s">
        <v>69</v>
      </c>
      <c r="D388" s="71" t="s">
        <v>74</v>
      </c>
      <c r="E388" s="113" t="s">
        <v>455</v>
      </c>
      <c r="F388" s="71" t="s">
        <v>87</v>
      </c>
      <c r="G388" s="67">
        <v>35801</v>
      </c>
      <c r="H388" s="71" t="s">
        <v>1120</v>
      </c>
      <c r="I388" s="71" t="s">
        <v>429</v>
      </c>
      <c r="J388" s="71" t="s">
        <v>1121</v>
      </c>
      <c r="K388" s="67" t="s">
        <v>1057</v>
      </c>
      <c r="L388" s="67" t="s">
        <v>1059</v>
      </c>
      <c r="M388" s="67" t="s">
        <v>429</v>
      </c>
      <c r="N388" s="67">
        <v>12</v>
      </c>
      <c r="O388" s="163">
        <v>19602</v>
      </c>
      <c r="P388" s="71" t="s">
        <v>380</v>
      </c>
      <c r="Q388" s="164">
        <f t="shared" si="17"/>
        <v>235223</v>
      </c>
      <c r="R388" s="164">
        <v>19602</v>
      </c>
      <c r="S388" s="164">
        <v>19602</v>
      </c>
      <c r="T388" s="164">
        <v>19602</v>
      </c>
      <c r="U388" s="164">
        <v>19602</v>
      </c>
      <c r="V388" s="164">
        <v>19602</v>
      </c>
      <c r="W388" s="164">
        <v>19602</v>
      </c>
      <c r="X388" s="164">
        <v>19602</v>
      </c>
      <c r="Y388" s="164">
        <v>19602</v>
      </c>
      <c r="Z388" s="164">
        <v>19602</v>
      </c>
      <c r="AA388" s="164">
        <v>19602</v>
      </c>
      <c r="AB388" s="164">
        <v>19602</v>
      </c>
      <c r="AC388" s="164">
        <v>19601</v>
      </c>
    </row>
    <row r="389" spans="1:29" s="165" customFormat="1" ht="15" customHeight="1" x14ac:dyDescent="0.3">
      <c r="A389" s="71" t="s">
        <v>1047</v>
      </c>
      <c r="B389" s="71" t="s">
        <v>1048</v>
      </c>
      <c r="C389" s="113" t="s">
        <v>69</v>
      </c>
      <c r="D389" s="71" t="s">
        <v>74</v>
      </c>
      <c r="E389" s="113" t="s">
        <v>455</v>
      </c>
      <c r="F389" s="71" t="s">
        <v>87</v>
      </c>
      <c r="G389" s="67">
        <v>35901</v>
      </c>
      <c r="H389" s="81" t="s">
        <v>1122</v>
      </c>
      <c r="I389" s="71" t="s">
        <v>429</v>
      </c>
      <c r="J389" s="71" t="s">
        <v>1123</v>
      </c>
      <c r="K389" s="67" t="s">
        <v>1059</v>
      </c>
      <c r="L389" s="67" t="s">
        <v>1059</v>
      </c>
      <c r="M389" s="67" t="s">
        <v>429</v>
      </c>
      <c r="N389" s="67">
        <v>3</v>
      </c>
      <c r="O389" s="163">
        <v>4000</v>
      </c>
      <c r="P389" s="71" t="s">
        <v>380</v>
      </c>
      <c r="Q389" s="164">
        <f t="shared" si="17"/>
        <v>12000</v>
      </c>
      <c r="R389" s="164">
        <v>0</v>
      </c>
      <c r="S389" s="164">
        <v>0</v>
      </c>
      <c r="T389" s="164">
        <v>4000</v>
      </c>
      <c r="U389" s="164">
        <v>0</v>
      </c>
      <c r="V389" s="164">
        <v>0</v>
      </c>
      <c r="W389" s="164">
        <v>4000</v>
      </c>
      <c r="X389" s="164">
        <v>0</v>
      </c>
      <c r="Y389" s="164">
        <v>0</v>
      </c>
      <c r="Z389" s="164">
        <v>4000</v>
      </c>
      <c r="AA389" s="164">
        <v>0</v>
      </c>
      <c r="AB389" s="164">
        <v>0</v>
      </c>
      <c r="AC389" s="164">
        <v>0</v>
      </c>
    </row>
    <row r="390" spans="1:29" s="165" customFormat="1" ht="15" customHeight="1" x14ac:dyDescent="0.3">
      <c r="A390" s="71" t="s">
        <v>1047</v>
      </c>
      <c r="B390" s="71" t="s">
        <v>1048</v>
      </c>
      <c r="C390" s="113" t="s">
        <v>69</v>
      </c>
      <c r="D390" s="71" t="s">
        <v>74</v>
      </c>
      <c r="E390" s="113" t="s">
        <v>455</v>
      </c>
      <c r="F390" s="71" t="s">
        <v>87</v>
      </c>
      <c r="G390" s="67">
        <v>37901</v>
      </c>
      <c r="H390" s="81" t="s">
        <v>1107</v>
      </c>
      <c r="I390" s="71" t="s">
        <v>429</v>
      </c>
      <c r="J390" s="71" t="s">
        <v>1124</v>
      </c>
      <c r="K390" s="67" t="s">
        <v>1059</v>
      </c>
      <c r="L390" s="67" t="s">
        <v>1059</v>
      </c>
      <c r="M390" s="67" t="s">
        <v>429</v>
      </c>
      <c r="N390" s="67">
        <v>12</v>
      </c>
      <c r="O390" s="163">
        <v>11340</v>
      </c>
      <c r="P390" s="71" t="s">
        <v>380</v>
      </c>
      <c r="Q390" s="164">
        <f t="shared" si="17"/>
        <v>136080</v>
      </c>
      <c r="R390" s="164">
        <v>11880</v>
      </c>
      <c r="S390" s="164">
        <v>10260</v>
      </c>
      <c r="T390" s="164">
        <v>11880</v>
      </c>
      <c r="U390" s="164">
        <v>10260</v>
      </c>
      <c r="V390" s="164">
        <v>11340</v>
      </c>
      <c r="W390" s="164">
        <v>11880</v>
      </c>
      <c r="X390" s="164">
        <v>11340</v>
      </c>
      <c r="Y390" s="164">
        <v>12420</v>
      </c>
      <c r="Z390" s="164">
        <v>11340</v>
      </c>
      <c r="AA390" s="164">
        <v>11880</v>
      </c>
      <c r="AB390" s="164">
        <v>10800</v>
      </c>
      <c r="AC390" s="164">
        <v>10800</v>
      </c>
    </row>
    <row r="391" spans="1:29" s="165" customFormat="1" ht="15" customHeight="1" x14ac:dyDescent="0.3">
      <c r="A391" s="71" t="s">
        <v>1047</v>
      </c>
      <c r="B391" s="71" t="s">
        <v>1048</v>
      </c>
      <c r="C391" s="113" t="s">
        <v>69</v>
      </c>
      <c r="D391" s="71" t="s">
        <v>74</v>
      </c>
      <c r="E391" s="113">
        <v>45</v>
      </c>
      <c r="F391" s="71" t="s">
        <v>87</v>
      </c>
      <c r="G391" s="67">
        <v>26102</v>
      </c>
      <c r="H391" s="71" t="s">
        <v>1088</v>
      </c>
      <c r="I391" s="67" t="s">
        <v>489</v>
      </c>
      <c r="J391" s="71" t="s">
        <v>1125</v>
      </c>
      <c r="K391" s="67" t="s">
        <v>1059</v>
      </c>
      <c r="L391" s="67" t="s">
        <v>1059</v>
      </c>
      <c r="M391" s="67" t="s">
        <v>726</v>
      </c>
      <c r="N391" s="67">
        <v>12</v>
      </c>
      <c r="O391" s="163">
        <v>1000</v>
      </c>
      <c r="P391" s="71" t="s">
        <v>380</v>
      </c>
      <c r="Q391" s="164">
        <f t="shared" si="17"/>
        <v>12000</v>
      </c>
      <c r="R391" s="164">
        <v>1000</v>
      </c>
      <c r="S391" s="164">
        <v>1000</v>
      </c>
      <c r="T391" s="164">
        <v>1000</v>
      </c>
      <c r="U391" s="164">
        <v>1000</v>
      </c>
      <c r="V391" s="164">
        <v>1000</v>
      </c>
      <c r="W391" s="164">
        <v>1000</v>
      </c>
      <c r="X391" s="164">
        <v>1000</v>
      </c>
      <c r="Y391" s="164">
        <v>1000</v>
      </c>
      <c r="Z391" s="164">
        <v>1000</v>
      </c>
      <c r="AA391" s="164">
        <v>1000</v>
      </c>
      <c r="AB391" s="164">
        <v>1000</v>
      </c>
      <c r="AC391" s="164">
        <v>1000</v>
      </c>
    </row>
    <row r="392" spans="1:29" s="165" customFormat="1" ht="15" customHeight="1" x14ac:dyDescent="0.3">
      <c r="A392" s="71" t="s">
        <v>1047</v>
      </c>
      <c r="B392" s="71" t="s">
        <v>1048</v>
      </c>
      <c r="C392" s="113" t="s">
        <v>69</v>
      </c>
      <c r="D392" s="71" t="s">
        <v>74</v>
      </c>
      <c r="E392" s="113">
        <v>45</v>
      </c>
      <c r="F392" s="71" t="s">
        <v>87</v>
      </c>
      <c r="G392" s="67">
        <v>29901</v>
      </c>
      <c r="H392" s="71" t="s">
        <v>422</v>
      </c>
      <c r="I392" s="71" t="s">
        <v>1126</v>
      </c>
      <c r="J392" s="71" t="s">
        <v>1127</v>
      </c>
      <c r="K392" s="67" t="s">
        <v>1059</v>
      </c>
      <c r="L392" s="67" t="s">
        <v>1059</v>
      </c>
      <c r="M392" s="67" t="s">
        <v>383</v>
      </c>
      <c r="N392" s="67">
        <v>2</v>
      </c>
      <c r="O392" s="163">
        <v>1500</v>
      </c>
      <c r="P392" s="71" t="s">
        <v>380</v>
      </c>
      <c r="Q392" s="164">
        <f t="shared" si="17"/>
        <v>3000</v>
      </c>
      <c r="R392" s="164">
        <v>0</v>
      </c>
      <c r="S392" s="164">
        <v>0</v>
      </c>
      <c r="T392" s="164">
        <v>0</v>
      </c>
      <c r="U392" s="164">
        <v>3000</v>
      </c>
      <c r="V392" s="164">
        <v>0</v>
      </c>
      <c r="W392" s="164">
        <v>0</v>
      </c>
      <c r="X392" s="164">
        <v>0</v>
      </c>
      <c r="Y392" s="164">
        <v>0</v>
      </c>
      <c r="Z392" s="164">
        <v>0</v>
      </c>
      <c r="AA392" s="164">
        <v>0</v>
      </c>
      <c r="AB392" s="164">
        <v>0</v>
      </c>
      <c r="AC392" s="164">
        <v>0</v>
      </c>
    </row>
    <row r="393" spans="1:29" s="165" customFormat="1" ht="15" customHeight="1" x14ac:dyDescent="0.3">
      <c r="A393" s="71" t="s">
        <v>1047</v>
      </c>
      <c r="B393" s="71" t="s">
        <v>1048</v>
      </c>
      <c r="C393" s="113" t="s">
        <v>69</v>
      </c>
      <c r="D393" s="71" t="s">
        <v>74</v>
      </c>
      <c r="E393" s="113" t="s">
        <v>455</v>
      </c>
      <c r="F393" s="71" t="s">
        <v>87</v>
      </c>
      <c r="G393" s="67">
        <v>26102</v>
      </c>
      <c r="H393" s="71" t="s">
        <v>1088</v>
      </c>
      <c r="I393" s="67" t="s">
        <v>429</v>
      </c>
      <c r="J393" s="71" t="s">
        <v>1125</v>
      </c>
      <c r="K393" s="67" t="s">
        <v>1059</v>
      </c>
      <c r="L393" s="67" t="s">
        <v>1059</v>
      </c>
      <c r="M393" s="67" t="s">
        <v>726</v>
      </c>
      <c r="N393" s="67">
        <v>12</v>
      </c>
      <c r="O393" s="163">
        <v>3518</v>
      </c>
      <c r="P393" s="71" t="s">
        <v>380</v>
      </c>
      <c r="Q393" s="164">
        <f t="shared" si="17"/>
        <v>42216</v>
      </c>
      <c r="R393" s="164">
        <v>3518</v>
      </c>
      <c r="S393" s="164">
        <v>3518</v>
      </c>
      <c r="T393" s="164">
        <v>3518</v>
      </c>
      <c r="U393" s="164">
        <v>3518</v>
      </c>
      <c r="V393" s="164">
        <v>3518</v>
      </c>
      <c r="W393" s="164">
        <v>3518</v>
      </c>
      <c r="X393" s="164">
        <v>3518</v>
      </c>
      <c r="Y393" s="164">
        <v>3518</v>
      </c>
      <c r="Z393" s="164">
        <v>3518</v>
      </c>
      <c r="AA393" s="164">
        <v>3518</v>
      </c>
      <c r="AB393" s="164">
        <v>3518</v>
      </c>
      <c r="AC393" s="164">
        <v>3518</v>
      </c>
    </row>
    <row r="394" spans="1:29" s="165" customFormat="1" ht="15" customHeight="1" x14ac:dyDescent="0.3">
      <c r="A394" s="71" t="s">
        <v>1047</v>
      </c>
      <c r="B394" s="71" t="s">
        <v>1048</v>
      </c>
      <c r="C394" s="113" t="s">
        <v>69</v>
      </c>
      <c r="D394" s="71" t="s">
        <v>74</v>
      </c>
      <c r="E394" s="113">
        <v>45</v>
      </c>
      <c r="F394" s="71" t="s">
        <v>87</v>
      </c>
      <c r="G394" s="67">
        <v>21401</v>
      </c>
      <c r="H394" s="71" t="s">
        <v>1128</v>
      </c>
      <c r="I394" s="71" t="s">
        <v>1129</v>
      </c>
      <c r="J394" s="71" t="s">
        <v>1130</v>
      </c>
      <c r="K394" s="67" t="s">
        <v>1059</v>
      </c>
      <c r="L394" s="67" t="s">
        <v>1059</v>
      </c>
      <c r="M394" s="67" t="s">
        <v>383</v>
      </c>
      <c r="N394" s="67">
        <v>2</v>
      </c>
      <c r="O394" s="163">
        <v>4000</v>
      </c>
      <c r="P394" s="71" t="s">
        <v>380</v>
      </c>
      <c r="Q394" s="164">
        <f t="shared" si="17"/>
        <v>8000</v>
      </c>
      <c r="R394" s="164">
        <v>0</v>
      </c>
      <c r="S394" s="164">
        <v>0</v>
      </c>
      <c r="T394" s="164">
        <v>4000</v>
      </c>
      <c r="U394" s="164">
        <v>0</v>
      </c>
      <c r="V394" s="164">
        <v>0</v>
      </c>
      <c r="W394" s="164">
        <v>0</v>
      </c>
      <c r="X394" s="164">
        <v>0</v>
      </c>
      <c r="Y394" s="164">
        <v>4000</v>
      </c>
      <c r="Z394" s="164">
        <v>0</v>
      </c>
      <c r="AA394" s="164">
        <v>0</v>
      </c>
      <c r="AB394" s="164">
        <v>0</v>
      </c>
      <c r="AC394" s="164">
        <v>0</v>
      </c>
    </row>
    <row r="395" spans="1:29" s="165" customFormat="1" ht="15" customHeight="1" x14ac:dyDescent="0.3">
      <c r="A395" s="71" t="s">
        <v>1047</v>
      </c>
      <c r="B395" s="71" t="s">
        <v>1048</v>
      </c>
      <c r="C395" s="113" t="s">
        <v>69</v>
      </c>
      <c r="D395" s="71" t="s">
        <v>74</v>
      </c>
      <c r="E395" s="113">
        <v>45</v>
      </c>
      <c r="F395" s="71" t="s">
        <v>87</v>
      </c>
      <c r="G395" s="67">
        <v>24901</v>
      </c>
      <c r="H395" s="71" t="s">
        <v>1108</v>
      </c>
      <c r="I395" s="71" t="s">
        <v>364</v>
      </c>
      <c r="J395" s="71" t="s">
        <v>1131</v>
      </c>
      <c r="K395" s="67" t="s">
        <v>1059</v>
      </c>
      <c r="L395" s="67" t="s">
        <v>1059</v>
      </c>
      <c r="M395" s="67" t="s">
        <v>383</v>
      </c>
      <c r="N395" s="67">
        <v>5</v>
      </c>
      <c r="O395" s="163">
        <v>70</v>
      </c>
      <c r="P395" s="71" t="s">
        <v>380</v>
      </c>
      <c r="Q395" s="164">
        <f t="shared" si="17"/>
        <v>350</v>
      </c>
      <c r="R395" s="164">
        <v>0</v>
      </c>
      <c r="S395" s="164">
        <v>0</v>
      </c>
      <c r="T395" s="164">
        <v>200</v>
      </c>
      <c r="U395" s="164">
        <v>0</v>
      </c>
      <c r="V395" s="164">
        <v>0</v>
      </c>
      <c r="W395" s="164">
        <v>0</v>
      </c>
      <c r="X395" s="164">
        <v>0</v>
      </c>
      <c r="Y395" s="164">
        <v>150</v>
      </c>
      <c r="Z395" s="164">
        <v>0</v>
      </c>
      <c r="AA395" s="164">
        <v>0</v>
      </c>
      <c r="AB395" s="164">
        <v>0</v>
      </c>
      <c r="AC395" s="164">
        <v>0</v>
      </c>
    </row>
    <row r="396" spans="1:29" s="165" customFormat="1" ht="15" customHeight="1" x14ac:dyDescent="0.3">
      <c r="A396" s="71" t="s">
        <v>1047</v>
      </c>
      <c r="B396" s="71" t="s">
        <v>1048</v>
      </c>
      <c r="C396" s="113" t="s">
        <v>69</v>
      </c>
      <c r="D396" s="71" t="s">
        <v>74</v>
      </c>
      <c r="E396" s="113">
        <v>45</v>
      </c>
      <c r="F396" s="168" t="s">
        <v>80</v>
      </c>
      <c r="G396" s="67">
        <v>37901</v>
      </c>
      <c r="H396" s="71" t="s">
        <v>1107</v>
      </c>
      <c r="I396" s="67" t="s">
        <v>429</v>
      </c>
      <c r="J396" s="71" t="s">
        <v>1124</v>
      </c>
      <c r="K396" s="67" t="s">
        <v>1059</v>
      </c>
      <c r="L396" s="67" t="s">
        <v>1059</v>
      </c>
      <c r="M396" s="67" t="s">
        <v>429</v>
      </c>
      <c r="N396" s="67">
        <v>12</v>
      </c>
      <c r="O396" s="163">
        <v>2475</v>
      </c>
      <c r="P396" s="71" t="s">
        <v>380</v>
      </c>
      <c r="Q396" s="164">
        <f t="shared" si="17"/>
        <v>29700</v>
      </c>
      <c r="R396" s="164">
        <v>2700</v>
      </c>
      <c r="S396" s="164">
        <v>2700</v>
      </c>
      <c r="T396" s="164">
        <v>2700</v>
      </c>
      <c r="U396" s="164">
        <v>2700</v>
      </c>
      <c r="V396" s="164">
        <v>2700</v>
      </c>
      <c r="W396" s="164">
        <v>2700</v>
      </c>
      <c r="X396" s="164">
        <v>1350</v>
      </c>
      <c r="Y396" s="164">
        <v>2700</v>
      </c>
      <c r="Z396" s="164">
        <v>2700</v>
      </c>
      <c r="AA396" s="164">
        <v>2700</v>
      </c>
      <c r="AB396" s="164">
        <v>2700</v>
      </c>
      <c r="AC396" s="164">
        <v>1350</v>
      </c>
    </row>
    <row r="397" spans="1:29" s="77" customFormat="1" ht="20.25" customHeight="1" x14ac:dyDescent="0.3">
      <c r="A397" s="65" t="s">
        <v>377</v>
      </c>
      <c r="B397" s="66" t="s">
        <v>480</v>
      </c>
      <c r="C397" s="66" t="s">
        <v>69</v>
      </c>
      <c r="D397" s="67" t="s">
        <v>70</v>
      </c>
      <c r="E397" s="68" t="s">
        <v>69</v>
      </c>
      <c r="F397" s="69" t="s">
        <v>444</v>
      </c>
      <c r="G397" s="69">
        <v>21601</v>
      </c>
      <c r="H397" s="70" t="s">
        <v>481</v>
      </c>
      <c r="I397" s="67" t="s">
        <v>482</v>
      </c>
      <c r="J397" s="71" t="s">
        <v>483</v>
      </c>
      <c r="K397" s="72" t="s">
        <v>379</v>
      </c>
      <c r="L397" s="73" t="s">
        <v>379</v>
      </c>
      <c r="M397" s="72" t="s">
        <v>383</v>
      </c>
      <c r="N397" s="69">
        <f>Q397/O397</f>
        <v>50</v>
      </c>
      <c r="O397" s="74">
        <v>189</v>
      </c>
      <c r="P397" s="75" t="s">
        <v>484</v>
      </c>
      <c r="Q397" s="76">
        <f>SUM(R397:AC397)</f>
        <v>9450</v>
      </c>
      <c r="R397" s="76"/>
      <c r="S397" s="76">
        <f>5*O397</f>
        <v>945</v>
      </c>
      <c r="T397" s="76">
        <f>4*O397</f>
        <v>756</v>
      </c>
      <c r="U397" s="76">
        <f t="shared" ref="U397:AC397" si="18">S397</f>
        <v>945</v>
      </c>
      <c r="V397" s="76">
        <f t="shared" si="18"/>
        <v>756</v>
      </c>
      <c r="W397" s="76">
        <f t="shared" si="18"/>
        <v>945</v>
      </c>
      <c r="X397" s="76">
        <f t="shared" si="18"/>
        <v>756</v>
      </c>
      <c r="Y397" s="76">
        <f t="shared" si="18"/>
        <v>945</v>
      </c>
      <c r="Z397" s="76">
        <f t="shared" si="18"/>
        <v>756</v>
      </c>
      <c r="AA397" s="76">
        <f t="shared" si="18"/>
        <v>945</v>
      </c>
      <c r="AB397" s="76">
        <f t="shared" si="18"/>
        <v>756</v>
      </c>
      <c r="AC397" s="76">
        <f t="shared" si="18"/>
        <v>945</v>
      </c>
    </row>
    <row r="398" spans="1:29" s="77" customFormat="1" ht="20.25" customHeight="1" x14ac:dyDescent="0.3">
      <c r="A398" s="65" t="s">
        <v>377</v>
      </c>
      <c r="B398" s="66" t="s">
        <v>480</v>
      </c>
      <c r="C398" s="66" t="s">
        <v>69</v>
      </c>
      <c r="D398" s="78" t="s">
        <v>70</v>
      </c>
      <c r="E398" s="79" t="s">
        <v>443</v>
      </c>
      <c r="F398" s="69" t="s">
        <v>444</v>
      </c>
      <c r="G398" s="69">
        <v>25401</v>
      </c>
      <c r="H398" s="80" t="s">
        <v>485</v>
      </c>
      <c r="I398" s="69" t="s">
        <v>366</v>
      </c>
      <c r="J398" s="81" t="s">
        <v>486</v>
      </c>
      <c r="K398" s="72" t="s">
        <v>379</v>
      </c>
      <c r="L398" s="73" t="s">
        <v>379</v>
      </c>
      <c r="M398" s="72" t="s">
        <v>383</v>
      </c>
      <c r="N398" s="69">
        <f t="shared" ref="N398:N400" si="19">Q398/O398</f>
        <v>4394</v>
      </c>
      <c r="O398" s="74">
        <v>5</v>
      </c>
      <c r="P398" s="75" t="s">
        <v>484</v>
      </c>
      <c r="Q398" s="76">
        <f t="shared" ref="Q398:Q461" si="20">SUM(R398:AC398)</f>
        <v>21970</v>
      </c>
      <c r="R398" s="76"/>
      <c r="S398" s="76">
        <f>309*O398</f>
        <v>1545</v>
      </c>
      <c r="T398" s="76">
        <f>500*O398</f>
        <v>2500</v>
      </c>
      <c r="U398" s="76">
        <f>300*O398</f>
        <v>1500</v>
      </c>
      <c r="V398" s="76">
        <f>500*O398</f>
        <v>2500</v>
      </c>
      <c r="W398" s="76">
        <f>309*O398</f>
        <v>1545</v>
      </c>
      <c r="X398" s="76">
        <f>500*O398</f>
        <v>2500</v>
      </c>
      <c r="Y398" s="76">
        <f>309*O398</f>
        <v>1545</v>
      </c>
      <c r="Z398" s="76">
        <f>500*O398</f>
        <v>2500</v>
      </c>
      <c r="AA398" s="76">
        <f>309*O398</f>
        <v>1545</v>
      </c>
      <c r="AB398" s="76">
        <f>549*O398</f>
        <v>2745</v>
      </c>
      <c r="AC398" s="76">
        <f>309*O398</f>
        <v>1545</v>
      </c>
    </row>
    <row r="399" spans="1:29" s="77" customFormat="1" ht="20.25" customHeight="1" x14ac:dyDescent="0.3">
      <c r="A399" s="65" t="s">
        <v>377</v>
      </c>
      <c r="B399" s="66" t="s">
        <v>480</v>
      </c>
      <c r="C399" s="66" t="s">
        <v>69</v>
      </c>
      <c r="D399" s="82" t="s">
        <v>70</v>
      </c>
      <c r="E399" s="79" t="s">
        <v>443</v>
      </c>
      <c r="F399" s="69" t="s">
        <v>444</v>
      </c>
      <c r="G399" s="69">
        <v>25401</v>
      </c>
      <c r="H399" s="80" t="s">
        <v>485</v>
      </c>
      <c r="I399" s="69" t="s">
        <v>368</v>
      </c>
      <c r="J399" s="81" t="s">
        <v>487</v>
      </c>
      <c r="K399" s="72" t="s">
        <v>379</v>
      </c>
      <c r="L399" s="73" t="s">
        <v>379</v>
      </c>
      <c r="M399" s="72" t="s">
        <v>79</v>
      </c>
      <c r="N399" s="69">
        <f t="shared" si="19"/>
        <v>50</v>
      </c>
      <c r="O399" s="74">
        <v>152</v>
      </c>
      <c r="P399" s="75" t="s">
        <v>484</v>
      </c>
      <c r="Q399" s="76">
        <f t="shared" si="20"/>
        <v>7600</v>
      </c>
      <c r="R399" s="76"/>
      <c r="S399" s="76">
        <f>3*O399</f>
        <v>456</v>
      </c>
      <c r="T399" s="76">
        <f>6*O399</f>
        <v>912</v>
      </c>
      <c r="U399" s="76">
        <f>3*O399</f>
        <v>456</v>
      </c>
      <c r="V399" s="76">
        <f>6*O399</f>
        <v>912</v>
      </c>
      <c r="W399" s="76">
        <f>3*O399</f>
        <v>456</v>
      </c>
      <c r="X399" s="76">
        <f>6*O399</f>
        <v>912</v>
      </c>
      <c r="Y399" s="76">
        <f>3*O399</f>
        <v>456</v>
      </c>
      <c r="Z399" s="76">
        <f>6*O399</f>
        <v>912</v>
      </c>
      <c r="AA399" s="76">
        <f>3*O399</f>
        <v>456</v>
      </c>
      <c r="AB399" s="76">
        <f>8*O399</f>
        <v>1216</v>
      </c>
      <c r="AC399" s="76">
        <f>3*O399</f>
        <v>456</v>
      </c>
    </row>
    <row r="400" spans="1:29" s="87" customFormat="1" ht="20.25" customHeight="1" x14ac:dyDescent="0.3">
      <c r="A400" s="65" t="s">
        <v>377</v>
      </c>
      <c r="B400" s="66" t="s">
        <v>480</v>
      </c>
      <c r="C400" s="66" t="s">
        <v>69</v>
      </c>
      <c r="D400" s="83" t="s">
        <v>74</v>
      </c>
      <c r="E400" s="84" t="s">
        <v>455</v>
      </c>
      <c r="F400" s="68" t="s">
        <v>87</v>
      </c>
      <c r="G400" s="85">
        <v>26103</v>
      </c>
      <c r="H400" s="70" t="s">
        <v>488</v>
      </c>
      <c r="I400" s="67" t="s">
        <v>489</v>
      </c>
      <c r="J400" s="71" t="s">
        <v>490</v>
      </c>
      <c r="K400" s="72" t="s">
        <v>491</v>
      </c>
      <c r="L400" s="73" t="s">
        <v>492</v>
      </c>
      <c r="M400" s="72" t="s">
        <v>429</v>
      </c>
      <c r="N400" s="69">
        <f t="shared" si="19"/>
        <v>12</v>
      </c>
      <c r="O400" s="74">
        <v>3804</v>
      </c>
      <c r="P400" s="75" t="s">
        <v>493</v>
      </c>
      <c r="Q400" s="76">
        <f t="shared" si="20"/>
        <v>45648</v>
      </c>
      <c r="R400" s="86">
        <v>3804</v>
      </c>
      <c r="S400" s="86">
        <v>3804</v>
      </c>
      <c r="T400" s="86">
        <v>3804</v>
      </c>
      <c r="U400" s="86">
        <v>3804</v>
      </c>
      <c r="V400" s="86">
        <v>3804</v>
      </c>
      <c r="W400" s="86">
        <v>3804</v>
      </c>
      <c r="X400" s="86">
        <v>3804</v>
      </c>
      <c r="Y400" s="86">
        <v>3804</v>
      </c>
      <c r="Z400" s="86">
        <v>3804</v>
      </c>
      <c r="AA400" s="86">
        <v>3804</v>
      </c>
      <c r="AB400" s="86">
        <v>3804</v>
      </c>
      <c r="AC400" s="86">
        <v>3804</v>
      </c>
    </row>
    <row r="401" spans="1:29" s="77" customFormat="1" ht="20.25" customHeight="1" x14ac:dyDescent="0.3">
      <c r="A401" s="65" t="s">
        <v>377</v>
      </c>
      <c r="B401" s="66" t="s">
        <v>480</v>
      </c>
      <c r="C401" s="66" t="s">
        <v>69</v>
      </c>
      <c r="D401" s="83" t="s">
        <v>70</v>
      </c>
      <c r="E401" s="84" t="s">
        <v>69</v>
      </c>
      <c r="F401" s="85" t="s">
        <v>71</v>
      </c>
      <c r="G401" s="85">
        <v>31401</v>
      </c>
      <c r="H401" s="70" t="s">
        <v>494</v>
      </c>
      <c r="I401" s="88" t="s">
        <v>429</v>
      </c>
      <c r="J401" s="71" t="s">
        <v>494</v>
      </c>
      <c r="K401" s="72" t="s">
        <v>492</v>
      </c>
      <c r="L401" s="73" t="s">
        <v>492</v>
      </c>
      <c r="M401" s="72" t="s">
        <v>379</v>
      </c>
      <c r="N401" s="89">
        <v>11</v>
      </c>
      <c r="O401" s="74">
        <v>2000.0024000000001</v>
      </c>
      <c r="P401" s="75" t="s">
        <v>484</v>
      </c>
      <c r="Q401" s="76">
        <f t="shared" si="20"/>
        <v>22000</v>
      </c>
      <c r="R401" s="76"/>
      <c r="S401" s="76">
        <v>2000</v>
      </c>
      <c r="T401" s="76">
        <v>2000</v>
      </c>
      <c r="U401" s="76">
        <v>2000</v>
      </c>
      <c r="V401" s="76">
        <v>2000</v>
      </c>
      <c r="W401" s="76">
        <v>2000</v>
      </c>
      <c r="X401" s="76">
        <v>2000</v>
      </c>
      <c r="Y401" s="76">
        <v>2000</v>
      </c>
      <c r="Z401" s="76">
        <v>2000</v>
      </c>
      <c r="AA401" s="76">
        <v>2000</v>
      </c>
      <c r="AB401" s="76">
        <v>2000</v>
      </c>
      <c r="AC401" s="76">
        <v>2000</v>
      </c>
    </row>
    <row r="402" spans="1:29" s="77" customFormat="1" ht="20.25" customHeight="1" x14ac:dyDescent="0.3">
      <c r="A402" s="65" t="s">
        <v>377</v>
      </c>
      <c r="B402" s="66" t="s">
        <v>480</v>
      </c>
      <c r="C402" s="66" t="s">
        <v>69</v>
      </c>
      <c r="D402" s="83" t="s">
        <v>70</v>
      </c>
      <c r="E402" s="84" t="s">
        <v>69</v>
      </c>
      <c r="F402" s="85" t="s">
        <v>71</v>
      </c>
      <c r="G402" s="85">
        <v>31801</v>
      </c>
      <c r="H402" s="70" t="s">
        <v>495</v>
      </c>
      <c r="I402" s="72" t="s">
        <v>429</v>
      </c>
      <c r="J402" s="90" t="s">
        <v>495</v>
      </c>
      <c r="K402" s="72" t="s">
        <v>379</v>
      </c>
      <c r="L402" s="73" t="s">
        <v>379</v>
      </c>
      <c r="M402" s="72" t="s">
        <v>429</v>
      </c>
      <c r="N402" s="89">
        <v>4</v>
      </c>
      <c r="O402" s="74">
        <f>Q402/4</f>
        <v>535.51250000000005</v>
      </c>
      <c r="P402" s="75" t="s">
        <v>484</v>
      </c>
      <c r="Q402" s="76">
        <f t="shared" si="20"/>
        <v>2142.0500000000002</v>
      </c>
      <c r="R402" s="76"/>
      <c r="S402" s="76"/>
      <c r="T402" s="76">
        <v>500</v>
      </c>
      <c r="U402" s="76"/>
      <c r="V402" s="76"/>
      <c r="W402" s="76">
        <v>500</v>
      </c>
      <c r="X402" s="76"/>
      <c r="Y402" s="76"/>
      <c r="Z402" s="76">
        <v>500</v>
      </c>
      <c r="AA402" s="76"/>
      <c r="AB402" s="76">
        <v>642.04999999999995</v>
      </c>
      <c r="AC402" s="76"/>
    </row>
    <row r="403" spans="1:29" s="77" customFormat="1" ht="20.25" customHeight="1" x14ac:dyDescent="0.3">
      <c r="A403" s="65" t="s">
        <v>377</v>
      </c>
      <c r="B403" s="66" t="s">
        <v>480</v>
      </c>
      <c r="C403" s="66" t="s">
        <v>69</v>
      </c>
      <c r="D403" s="83" t="s">
        <v>70</v>
      </c>
      <c r="E403" s="84" t="s">
        <v>69</v>
      </c>
      <c r="F403" s="85" t="s">
        <v>71</v>
      </c>
      <c r="G403" s="85">
        <v>32601</v>
      </c>
      <c r="H403" s="70" t="s">
        <v>496</v>
      </c>
      <c r="I403" s="72" t="s">
        <v>429</v>
      </c>
      <c r="J403" s="90" t="s">
        <v>496</v>
      </c>
      <c r="K403" s="72" t="s">
        <v>497</v>
      </c>
      <c r="L403" s="73" t="s">
        <v>492</v>
      </c>
      <c r="M403" s="72" t="s">
        <v>429</v>
      </c>
      <c r="N403" s="89">
        <v>10</v>
      </c>
      <c r="O403" s="74">
        <v>660.00055999999995</v>
      </c>
      <c r="P403" s="91" t="s">
        <v>493</v>
      </c>
      <c r="Q403" s="76">
        <f t="shared" si="20"/>
        <v>6600</v>
      </c>
      <c r="R403" s="76"/>
      <c r="S403" s="76">
        <v>660</v>
      </c>
      <c r="T403" s="76">
        <v>660</v>
      </c>
      <c r="U403" s="76">
        <v>660</v>
      </c>
      <c r="V403" s="76">
        <v>660</v>
      </c>
      <c r="W403" s="76">
        <v>660</v>
      </c>
      <c r="X403" s="76">
        <v>660</v>
      </c>
      <c r="Y403" s="76">
        <v>660</v>
      </c>
      <c r="Z403" s="76">
        <v>660</v>
      </c>
      <c r="AA403" s="76">
        <v>660</v>
      </c>
      <c r="AB403" s="76">
        <v>660</v>
      </c>
      <c r="AC403" s="76"/>
    </row>
    <row r="404" spans="1:29" s="77" customFormat="1" ht="20.25" customHeight="1" x14ac:dyDescent="0.3">
      <c r="A404" s="65" t="s">
        <v>377</v>
      </c>
      <c r="B404" s="66" t="s">
        <v>480</v>
      </c>
      <c r="C404" s="66" t="s">
        <v>69</v>
      </c>
      <c r="D404" s="83" t="s">
        <v>70</v>
      </c>
      <c r="E404" s="84" t="s">
        <v>69</v>
      </c>
      <c r="F404" s="85" t="s">
        <v>71</v>
      </c>
      <c r="G404" s="85">
        <v>35501</v>
      </c>
      <c r="H404" s="70" t="s">
        <v>498</v>
      </c>
      <c r="I404" s="72" t="s">
        <v>429</v>
      </c>
      <c r="J404" s="90" t="s">
        <v>498</v>
      </c>
      <c r="K404" s="72" t="s">
        <v>379</v>
      </c>
      <c r="L404" s="73" t="s">
        <v>379</v>
      </c>
      <c r="M404" s="72" t="s">
        <v>429</v>
      </c>
      <c r="N404" s="89">
        <v>4</v>
      </c>
      <c r="O404" s="74">
        <v>2387.0016000000001</v>
      </c>
      <c r="P404" s="75" t="s">
        <v>484</v>
      </c>
      <c r="Q404" s="76">
        <f t="shared" si="20"/>
        <v>9548</v>
      </c>
      <c r="R404" s="76"/>
      <c r="S404" s="76">
        <v>2320</v>
      </c>
      <c r="T404" s="76"/>
      <c r="U404" s="76">
        <v>2588</v>
      </c>
      <c r="V404" s="76"/>
      <c r="W404" s="76"/>
      <c r="X404" s="76"/>
      <c r="Y404" s="76">
        <v>2320</v>
      </c>
      <c r="Z404" s="76"/>
      <c r="AA404" s="76">
        <v>2320</v>
      </c>
      <c r="AB404" s="76"/>
      <c r="AC404" s="76"/>
    </row>
    <row r="405" spans="1:29" s="77" customFormat="1" ht="20.25" customHeight="1" x14ac:dyDescent="0.3">
      <c r="A405" s="65" t="s">
        <v>377</v>
      </c>
      <c r="B405" s="66" t="s">
        <v>480</v>
      </c>
      <c r="C405" s="66" t="s">
        <v>69</v>
      </c>
      <c r="D405" s="83" t="s">
        <v>74</v>
      </c>
      <c r="E405" s="83">
        <v>45</v>
      </c>
      <c r="F405" s="85" t="s">
        <v>71</v>
      </c>
      <c r="G405" s="85">
        <v>39202</v>
      </c>
      <c r="H405" s="92" t="s">
        <v>499</v>
      </c>
      <c r="I405" s="72" t="s">
        <v>429</v>
      </c>
      <c r="J405" s="90" t="s">
        <v>499</v>
      </c>
      <c r="K405" s="72" t="s">
        <v>379</v>
      </c>
      <c r="L405" s="73" t="s">
        <v>379</v>
      </c>
      <c r="M405" s="72" t="s">
        <v>429</v>
      </c>
      <c r="N405" s="89">
        <f t="shared" ref="N405:N441" si="21">Q405/O405</f>
        <v>12</v>
      </c>
      <c r="O405" s="74">
        <v>420</v>
      </c>
      <c r="P405" s="75" t="s">
        <v>484</v>
      </c>
      <c r="Q405" s="76">
        <f t="shared" si="20"/>
        <v>5040</v>
      </c>
      <c r="R405" s="76">
        <v>420</v>
      </c>
      <c r="S405" s="76">
        <v>420</v>
      </c>
      <c r="T405" s="76">
        <v>420</v>
      </c>
      <c r="U405" s="76">
        <v>420</v>
      </c>
      <c r="V405" s="76">
        <v>420</v>
      </c>
      <c r="W405" s="76">
        <v>420</v>
      </c>
      <c r="X405" s="76">
        <v>420</v>
      </c>
      <c r="Y405" s="76">
        <v>420</v>
      </c>
      <c r="Z405" s="76">
        <v>420</v>
      </c>
      <c r="AA405" s="76">
        <v>420</v>
      </c>
      <c r="AB405" s="76">
        <v>420</v>
      </c>
      <c r="AC405" s="76">
        <v>420</v>
      </c>
    </row>
    <row r="406" spans="1:29" s="77" customFormat="1" ht="20.25" customHeight="1" x14ac:dyDescent="0.3">
      <c r="A406" s="65" t="s">
        <v>377</v>
      </c>
      <c r="B406" s="66" t="s">
        <v>480</v>
      </c>
      <c r="C406" s="66" t="s">
        <v>69</v>
      </c>
      <c r="D406" s="83" t="s">
        <v>70</v>
      </c>
      <c r="E406" s="84" t="s">
        <v>69</v>
      </c>
      <c r="F406" s="85" t="s">
        <v>71</v>
      </c>
      <c r="G406" s="85">
        <v>21101</v>
      </c>
      <c r="H406" s="80" t="s">
        <v>500</v>
      </c>
      <c r="I406" s="67" t="s">
        <v>501</v>
      </c>
      <c r="J406" s="71" t="s">
        <v>502</v>
      </c>
      <c r="K406" s="72" t="s">
        <v>379</v>
      </c>
      <c r="L406" s="73" t="s">
        <v>379</v>
      </c>
      <c r="M406" s="67" t="s">
        <v>55</v>
      </c>
      <c r="N406" s="69">
        <f t="shared" si="21"/>
        <v>11.000000000000002</v>
      </c>
      <c r="O406" s="74">
        <v>1198.9991999999997</v>
      </c>
      <c r="P406" s="75" t="s">
        <v>484</v>
      </c>
      <c r="Q406" s="76">
        <f t="shared" si="20"/>
        <v>13188.9912</v>
      </c>
      <c r="R406" s="76"/>
      <c r="S406" s="76">
        <f>3*O406</f>
        <v>3596.9975999999992</v>
      </c>
      <c r="T406" s="76">
        <f>1*O406</f>
        <v>1198.9991999999997</v>
      </c>
      <c r="U406" s="76"/>
      <c r="V406" s="76">
        <f>1*O406</f>
        <v>1198.9991999999997</v>
      </c>
      <c r="W406" s="76">
        <f>1*O406</f>
        <v>1198.9991999999997</v>
      </c>
      <c r="X406" s="76"/>
      <c r="Y406" s="76">
        <f>1*O406</f>
        <v>1198.9991999999997</v>
      </c>
      <c r="Z406" s="76">
        <f>1*O406</f>
        <v>1198.9991999999997</v>
      </c>
      <c r="AA406" s="76">
        <f>1*O406</f>
        <v>1198.9991999999997</v>
      </c>
      <c r="AB406" s="76">
        <f>1*O406</f>
        <v>1198.9991999999997</v>
      </c>
      <c r="AC406" s="76">
        <f>1*O406</f>
        <v>1198.9991999999997</v>
      </c>
    </row>
    <row r="407" spans="1:29" s="77" customFormat="1" ht="20.25" customHeight="1" x14ac:dyDescent="0.3">
      <c r="A407" s="65" t="s">
        <v>377</v>
      </c>
      <c r="B407" s="66" t="s">
        <v>480</v>
      </c>
      <c r="C407" s="66" t="s">
        <v>69</v>
      </c>
      <c r="D407" s="83" t="s">
        <v>70</v>
      </c>
      <c r="E407" s="84" t="s">
        <v>69</v>
      </c>
      <c r="F407" s="85" t="s">
        <v>71</v>
      </c>
      <c r="G407" s="85">
        <v>21101</v>
      </c>
      <c r="H407" s="80" t="s">
        <v>500</v>
      </c>
      <c r="I407" s="67" t="s">
        <v>503</v>
      </c>
      <c r="J407" s="90" t="s">
        <v>504</v>
      </c>
      <c r="K407" s="72" t="s">
        <v>379</v>
      </c>
      <c r="L407" s="73" t="s">
        <v>379</v>
      </c>
      <c r="M407" s="72" t="s">
        <v>56</v>
      </c>
      <c r="N407" s="69">
        <f t="shared" si="21"/>
        <v>16</v>
      </c>
      <c r="O407" s="74">
        <v>399</v>
      </c>
      <c r="P407" s="75" t="s">
        <v>484</v>
      </c>
      <c r="Q407" s="76">
        <f t="shared" si="20"/>
        <v>6384</v>
      </c>
      <c r="R407" s="76"/>
      <c r="S407" s="76">
        <f>5*O407</f>
        <v>1995</v>
      </c>
      <c r="T407" s="76"/>
      <c r="U407" s="76">
        <f>5*O407</f>
        <v>1995</v>
      </c>
      <c r="V407" s="76"/>
      <c r="W407" s="76">
        <f>2*O407</f>
        <v>798</v>
      </c>
      <c r="X407" s="76"/>
      <c r="Y407" s="76"/>
      <c r="Z407" s="76">
        <f>1*O407</f>
        <v>399</v>
      </c>
      <c r="AA407" s="76">
        <f>1*O407</f>
        <v>399</v>
      </c>
      <c r="AB407" s="76">
        <f>1*O407</f>
        <v>399</v>
      </c>
      <c r="AC407" s="76">
        <f>1*O407</f>
        <v>399</v>
      </c>
    </row>
    <row r="408" spans="1:29" s="77" customFormat="1" ht="20.25" customHeight="1" x14ac:dyDescent="0.3">
      <c r="A408" s="65" t="s">
        <v>377</v>
      </c>
      <c r="B408" s="66" t="s">
        <v>480</v>
      </c>
      <c r="C408" s="66" t="s">
        <v>69</v>
      </c>
      <c r="D408" s="83" t="s">
        <v>70</v>
      </c>
      <c r="E408" s="84" t="s">
        <v>69</v>
      </c>
      <c r="F408" s="85" t="s">
        <v>71</v>
      </c>
      <c r="G408" s="85">
        <v>21101</v>
      </c>
      <c r="H408" s="80" t="s">
        <v>500</v>
      </c>
      <c r="I408" s="67" t="s">
        <v>505</v>
      </c>
      <c r="J408" s="90" t="s">
        <v>506</v>
      </c>
      <c r="K408" s="72" t="s">
        <v>379</v>
      </c>
      <c r="L408" s="73" t="s">
        <v>379</v>
      </c>
      <c r="M408" s="72" t="s">
        <v>55</v>
      </c>
      <c r="N408" s="69">
        <f t="shared" si="21"/>
        <v>15.000000000000002</v>
      </c>
      <c r="O408" s="74">
        <v>48.998399999999997</v>
      </c>
      <c r="P408" s="75" t="s">
        <v>484</v>
      </c>
      <c r="Q408" s="76">
        <f t="shared" si="20"/>
        <v>734.976</v>
      </c>
      <c r="R408" s="76"/>
      <c r="S408" s="76"/>
      <c r="T408" s="76">
        <f>2*O408</f>
        <v>97.996799999999993</v>
      </c>
      <c r="U408" s="76">
        <f>3*O408</f>
        <v>146.99519999999998</v>
      </c>
      <c r="V408" s="76"/>
      <c r="W408" s="76">
        <f>2*O408</f>
        <v>97.996799999999993</v>
      </c>
      <c r="X408" s="76"/>
      <c r="Y408" s="76"/>
      <c r="Z408" s="76">
        <f>2*O408</f>
        <v>97.996799999999993</v>
      </c>
      <c r="AA408" s="76">
        <f>2*O408</f>
        <v>97.996799999999993</v>
      </c>
      <c r="AB408" s="76">
        <f>2*O408</f>
        <v>97.996799999999993</v>
      </c>
      <c r="AC408" s="76">
        <f>2*O408</f>
        <v>97.996799999999993</v>
      </c>
    </row>
    <row r="409" spans="1:29" s="77" customFormat="1" ht="20.25" customHeight="1" x14ac:dyDescent="0.3">
      <c r="A409" s="65" t="s">
        <v>377</v>
      </c>
      <c r="B409" s="66" t="s">
        <v>480</v>
      </c>
      <c r="C409" s="66" t="s">
        <v>69</v>
      </c>
      <c r="D409" s="83" t="s">
        <v>70</v>
      </c>
      <c r="E409" s="84" t="s">
        <v>69</v>
      </c>
      <c r="F409" s="85" t="s">
        <v>71</v>
      </c>
      <c r="G409" s="85">
        <v>21101</v>
      </c>
      <c r="H409" s="80" t="s">
        <v>500</v>
      </c>
      <c r="I409" s="67" t="s">
        <v>505</v>
      </c>
      <c r="J409" s="90" t="s">
        <v>507</v>
      </c>
      <c r="K409" s="72" t="s">
        <v>379</v>
      </c>
      <c r="L409" s="73" t="s">
        <v>379</v>
      </c>
      <c r="M409" s="72" t="s">
        <v>55</v>
      </c>
      <c r="N409" s="69">
        <f t="shared" si="21"/>
        <v>5</v>
      </c>
      <c r="O409" s="74">
        <v>68.44</v>
      </c>
      <c r="P409" s="75" t="s">
        <v>484</v>
      </c>
      <c r="Q409" s="76">
        <f t="shared" si="20"/>
        <v>342.2</v>
      </c>
      <c r="R409" s="76"/>
      <c r="S409" s="76"/>
      <c r="T409" s="76"/>
      <c r="U409" s="76"/>
      <c r="V409" s="76"/>
      <c r="W409" s="76"/>
      <c r="X409" s="76"/>
      <c r="Y409" s="76">
        <f>5*O409</f>
        <v>342.2</v>
      </c>
      <c r="Z409" s="76"/>
      <c r="AA409" s="76"/>
      <c r="AB409" s="76"/>
      <c r="AC409" s="76"/>
    </row>
    <row r="410" spans="1:29" s="77" customFormat="1" ht="20.25" customHeight="1" x14ac:dyDescent="0.3">
      <c r="A410" s="65" t="s">
        <v>377</v>
      </c>
      <c r="B410" s="66" t="s">
        <v>480</v>
      </c>
      <c r="C410" s="66" t="s">
        <v>69</v>
      </c>
      <c r="D410" s="83" t="s">
        <v>70</v>
      </c>
      <c r="E410" s="84" t="s">
        <v>69</v>
      </c>
      <c r="F410" s="85" t="s">
        <v>71</v>
      </c>
      <c r="G410" s="85">
        <v>21101</v>
      </c>
      <c r="H410" s="80" t="s">
        <v>500</v>
      </c>
      <c r="I410" s="72" t="s">
        <v>508</v>
      </c>
      <c r="J410" s="90" t="s">
        <v>509</v>
      </c>
      <c r="K410" s="72" t="s">
        <v>379</v>
      </c>
      <c r="L410" s="73" t="s">
        <v>379</v>
      </c>
      <c r="M410" s="72" t="s">
        <v>383</v>
      </c>
      <c r="N410" s="69">
        <f t="shared" si="21"/>
        <v>11</v>
      </c>
      <c r="O410" s="74">
        <v>58.997599999999998</v>
      </c>
      <c r="P410" s="75" t="s">
        <v>484</v>
      </c>
      <c r="Q410" s="76">
        <f t="shared" si="20"/>
        <v>648.97360000000003</v>
      </c>
      <c r="R410" s="76"/>
      <c r="S410" s="76">
        <f>5*O410</f>
        <v>294.988</v>
      </c>
      <c r="T410" s="76"/>
      <c r="U410" s="76">
        <f>2*O410</f>
        <v>117.9952</v>
      </c>
      <c r="V410" s="76"/>
      <c r="W410" s="76"/>
      <c r="X410" s="76"/>
      <c r="Y410" s="76"/>
      <c r="Z410" s="76">
        <f>1*O410</f>
        <v>58.997599999999998</v>
      </c>
      <c r="AA410" s="76">
        <f>1*O410</f>
        <v>58.997599999999998</v>
      </c>
      <c r="AB410" s="76">
        <f>1*O410</f>
        <v>58.997599999999998</v>
      </c>
      <c r="AC410" s="76">
        <f>1*O410</f>
        <v>58.997599999999998</v>
      </c>
    </row>
    <row r="411" spans="1:29" s="77" customFormat="1" ht="20.25" customHeight="1" x14ac:dyDescent="0.3">
      <c r="A411" s="65" t="s">
        <v>377</v>
      </c>
      <c r="B411" s="66" t="s">
        <v>480</v>
      </c>
      <c r="C411" s="66" t="s">
        <v>69</v>
      </c>
      <c r="D411" s="83" t="s">
        <v>74</v>
      </c>
      <c r="E411" s="84" t="s">
        <v>455</v>
      </c>
      <c r="F411" s="85" t="s">
        <v>87</v>
      </c>
      <c r="G411" s="85">
        <v>21101</v>
      </c>
      <c r="H411" s="80" t="s">
        <v>500</v>
      </c>
      <c r="I411" s="67" t="s">
        <v>335</v>
      </c>
      <c r="J411" s="90" t="s">
        <v>510</v>
      </c>
      <c r="K411" s="72" t="s">
        <v>379</v>
      </c>
      <c r="L411" s="73" t="s">
        <v>379</v>
      </c>
      <c r="M411" s="72" t="s">
        <v>383</v>
      </c>
      <c r="N411" s="69">
        <f t="shared" si="21"/>
        <v>30</v>
      </c>
      <c r="O411" s="74">
        <v>59</v>
      </c>
      <c r="P411" s="75" t="s">
        <v>484</v>
      </c>
      <c r="Q411" s="76">
        <f t="shared" si="20"/>
        <v>1770</v>
      </c>
      <c r="R411" s="76"/>
      <c r="S411" s="76">
        <f>5*O411</f>
        <v>295</v>
      </c>
      <c r="T411" s="76"/>
      <c r="U411" s="76">
        <f>5*O411</f>
        <v>295</v>
      </c>
      <c r="V411" s="76"/>
      <c r="W411" s="76">
        <f>5*O411</f>
        <v>295</v>
      </c>
      <c r="X411" s="76"/>
      <c r="Y411" s="76">
        <f>5*O411</f>
        <v>295</v>
      </c>
      <c r="Z411" s="76"/>
      <c r="AA411" s="76">
        <f>5*O411</f>
        <v>295</v>
      </c>
      <c r="AB411" s="76">
        <f>5*O411</f>
        <v>295</v>
      </c>
      <c r="AC411" s="76"/>
    </row>
    <row r="412" spans="1:29" s="77" customFormat="1" ht="20.25" customHeight="1" x14ac:dyDescent="0.3">
      <c r="A412" s="65" t="s">
        <v>377</v>
      </c>
      <c r="B412" s="66" t="s">
        <v>480</v>
      </c>
      <c r="C412" s="66" t="s">
        <v>69</v>
      </c>
      <c r="D412" s="83" t="s">
        <v>74</v>
      </c>
      <c r="E412" s="84" t="s">
        <v>455</v>
      </c>
      <c r="F412" s="85" t="s">
        <v>87</v>
      </c>
      <c r="G412" s="85">
        <v>21101</v>
      </c>
      <c r="H412" s="80" t="s">
        <v>500</v>
      </c>
      <c r="I412" s="67" t="s">
        <v>251</v>
      </c>
      <c r="J412" s="90" t="s">
        <v>511</v>
      </c>
      <c r="K412" s="72" t="s">
        <v>379</v>
      </c>
      <c r="L412" s="73" t="s">
        <v>379</v>
      </c>
      <c r="M412" s="72" t="s">
        <v>55</v>
      </c>
      <c r="N412" s="69">
        <f t="shared" si="21"/>
        <v>24</v>
      </c>
      <c r="O412" s="74">
        <v>109.00519999999999</v>
      </c>
      <c r="P412" s="75" t="s">
        <v>484</v>
      </c>
      <c r="Q412" s="76">
        <f t="shared" si="20"/>
        <v>2616.1247999999996</v>
      </c>
      <c r="R412" s="76"/>
      <c r="S412" s="76">
        <f>4*O412</f>
        <v>436.02079999999995</v>
      </c>
      <c r="T412" s="76"/>
      <c r="U412" s="76">
        <f>4*O412</f>
        <v>436.02079999999995</v>
      </c>
      <c r="V412" s="76"/>
      <c r="W412" s="76">
        <f>4*O412</f>
        <v>436.02079999999995</v>
      </c>
      <c r="X412" s="76"/>
      <c r="Y412" s="76">
        <f>4*O412</f>
        <v>436.02079999999995</v>
      </c>
      <c r="Z412" s="76"/>
      <c r="AA412" s="76">
        <f>4*O412</f>
        <v>436.02079999999995</v>
      </c>
      <c r="AB412" s="76">
        <f>4*O412</f>
        <v>436.02079999999995</v>
      </c>
      <c r="AC412" s="76"/>
    </row>
    <row r="413" spans="1:29" s="77" customFormat="1" ht="20.25" customHeight="1" x14ac:dyDescent="0.3">
      <c r="A413" s="65" t="s">
        <v>377</v>
      </c>
      <c r="B413" s="66" t="s">
        <v>480</v>
      </c>
      <c r="C413" s="66" t="s">
        <v>69</v>
      </c>
      <c r="D413" s="83" t="s">
        <v>74</v>
      </c>
      <c r="E413" s="84" t="s">
        <v>455</v>
      </c>
      <c r="F413" s="85" t="s">
        <v>87</v>
      </c>
      <c r="G413" s="85">
        <v>21101</v>
      </c>
      <c r="H413" s="80" t="s">
        <v>500</v>
      </c>
      <c r="I413" s="67" t="s">
        <v>255</v>
      </c>
      <c r="J413" s="90" t="s">
        <v>512</v>
      </c>
      <c r="K413" s="72" t="s">
        <v>379</v>
      </c>
      <c r="L413" s="73" t="s">
        <v>379</v>
      </c>
      <c r="M413" s="72" t="s">
        <v>55</v>
      </c>
      <c r="N413" s="69">
        <f t="shared" si="21"/>
        <v>23.999999999999996</v>
      </c>
      <c r="O413" s="74">
        <v>115.00239999999999</v>
      </c>
      <c r="P413" s="75" t="s">
        <v>484</v>
      </c>
      <c r="Q413" s="76">
        <f t="shared" si="20"/>
        <v>2760.0575999999996</v>
      </c>
      <c r="R413" s="76"/>
      <c r="S413" s="76">
        <f>4*O413</f>
        <v>460.00959999999998</v>
      </c>
      <c r="T413" s="76"/>
      <c r="U413" s="76">
        <f>4*O413</f>
        <v>460.00959999999998</v>
      </c>
      <c r="V413" s="76"/>
      <c r="W413" s="76">
        <f>4*O413</f>
        <v>460.00959999999998</v>
      </c>
      <c r="X413" s="76"/>
      <c r="Y413" s="76">
        <f>4*O413</f>
        <v>460.00959999999998</v>
      </c>
      <c r="Z413" s="76"/>
      <c r="AA413" s="76">
        <f>4*O413</f>
        <v>460.00959999999998</v>
      </c>
      <c r="AB413" s="76">
        <f>4*O413</f>
        <v>460.00959999999998</v>
      </c>
      <c r="AC413" s="76"/>
    </row>
    <row r="414" spans="1:29" s="77" customFormat="1" ht="20.25" customHeight="1" x14ac:dyDescent="0.3">
      <c r="A414" s="65" t="s">
        <v>377</v>
      </c>
      <c r="B414" s="66" t="s">
        <v>480</v>
      </c>
      <c r="C414" s="66" t="s">
        <v>69</v>
      </c>
      <c r="D414" s="83" t="s">
        <v>74</v>
      </c>
      <c r="E414" s="84" t="s">
        <v>455</v>
      </c>
      <c r="F414" s="85" t="s">
        <v>87</v>
      </c>
      <c r="G414" s="85">
        <v>21101</v>
      </c>
      <c r="H414" s="80" t="s">
        <v>500</v>
      </c>
      <c r="I414" s="67" t="s">
        <v>309</v>
      </c>
      <c r="J414" s="90" t="s">
        <v>513</v>
      </c>
      <c r="K414" s="72" t="s">
        <v>379</v>
      </c>
      <c r="L414" s="73" t="s">
        <v>379</v>
      </c>
      <c r="M414" s="72" t="s">
        <v>55</v>
      </c>
      <c r="N414" s="69">
        <f t="shared" si="21"/>
        <v>30.000000000000004</v>
      </c>
      <c r="O414" s="74">
        <v>54.995599999999989</v>
      </c>
      <c r="P414" s="75" t="s">
        <v>484</v>
      </c>
      <c r="Q414" s="76">
        <f t="shared" si="20"/>
        <v>1649.8679999999999</v>
      </c>
      <c r="R414" s="76"/>
      <c r="S414" s="76">
        <f>5*O414</f>
        <v>274.97799999999995</v>
      </c>
      <c r="T414" s="76"/>
      <c r="U414" s="76">
        <f>5*O414</f>
        <v>274.97799999999995</v>
      </c>
      <c r="V414" s="76"/>
      <c r="W414" s="76">
        <f>5*O414</f>
        <v>274.97799999999995</v>
      </c>
      <c r="X414" s="76"/>
      <c r="Y414" s="76">
        <f>5*O414</f>
        <v>274.97799999999995</v>
      </c>
      <c r="Z414" s="76"/>
      <c r="AA414" s="76">
        <f>5*O414</f>
        <v>274.97799999999995</v>
      </c>
      <c r="AB414" s="76">
        <f>5*O414</f>
        <v>274.97799999999995</v>
      </c>
      <c r="AC414" s="76"/>
    </row>
    <row r="415" spans="1:29" s="77" customFormat="1" ht="20.25" customHeight="1" x14ac:dyDescent="0.3">
      <c r="A415" s="65" t="s">
        <v>377</v>
      </c>
      <c r="B415" s="66" t="s">
        <v>480</v>
      </c>
      <c r="C415" s="66" t="s">
        <v>69</v>
      </c>
      <c r="D415" s="83" t="s">
        <v>70</v>
      </c>
      <c r="E415" s="84" t="s">
        <v>69</v>
      </c>
      <c r="F415" s="85" t="s">
        <v>71</v>
      </c>
      <c r="G415" s="85">
        <v>21101</v>
      </c>
      <c r="H415" s="80" t="s">
        <v>500</v>
      </c>
      <c r="I415" s="67" t="s">
        <v>514</v>
      </c>
      <c r="J415" s="90" t="s">
        <v>515</v>
      </c>
      <c r="K415" s="72" t="s">
        <v>379</v>
      </c>
      <c r="L415" s="73" t="s">
        <v>379</v>
      </c>
      <c r="M415" s="72" t="s">
        <v>55</v>
      </c>
      <c r="N415" s="69">
        <f t="shared" si="21"/>
        <v>15</v>
      </c>
      <c r="O415" s="74">
        <v>24.000399999999999</v>
      </c>
      <c r="P415" s="75" t="s">
        <v>484</v>
      </c>
      <c r="Q415" s="76">
        <f t="shared" si="20"/>
        <v>360.00599999999997</v>
      </c>
      <c r="R415" s="76"/>
      <c r="S415" s="76"/>
      <c r="T415" s="76"/>
      <c r="U415" s="76"/>
      <c r="V415" s="76"/>
      <c r="W415" s="76"/>
      <c r="X415" s="76">
        <f>10*O415</f>
        <v>240.00399999999999</v>
      </c>
      <c r="Y415" s="76">
        <f>5*O415</f>
        <v>120.002</v>
      </c>
      <c r="Z415" s="76"/>
      <c r="AA415" s="76"/>
      <c r="AB415" s="76"/>
      <c r="AC415" s="76"/>
    </row>
    <row r="416" spans="1:29" s="77" customFormat="1" ht="20.25" customHeight="1" x14ac:dyDescent="0.3">
      <c r="A416" s="65" t="s">
        <v>377</v>
      </c>
      <c r="B416" s="66" t="s">
        <v>480</v>
      </c>
      <c r="C416" s="66" t="s">
        <v>69</v>
      </c>
      <c r="D416" s="83" t="s">
        <v>70</v>
      </c>
      <c r="E416" s="84" t="s">
        <v>69</v>
      </c>
      <c r="F416" s="85" t="s">
        <v>71</v>
      </c>
      <c r="G416" s="85">
        <v>21101</v>
      </c>
      <c r="H416" s="80" t="s">
        <v>500</v>
      </c>
      <c r="I416" s="67" t="s">
        <v>516</v>
      </c>
      <c r="J416" s="90" t="s">
        <v>517</v>
      </c>
      <c r="K416" s="72" t="s">
        <v>379</v>
      </c>
      <c r="L416" s="73" t="s">
        <v>379</v>
      </c>
      <c r="M416" s="72" t="s">
        <v>55</v>
      </c>
      <c r="N416" s="69">
        <f t="shared" si="21"/>
        <v>2</v>
      </c>
      <c r="O416" s="74">
        <v>19.000799999999998</v>
      </c>
      <c r="P416" s="75" t="s">
        <v>484</v>
      </c>
      <c r="Q416" s="76">
        <f t="shared" si="20"/>
        <v>38.001599999999996</v>
      </c>
      <c r="R416" s="76"/>
      <c r="S416" s="76"/>
      <c r="T416" s="76"/>
      <c r="U416" s="76"/>
      <c r="V416" s="76"/>
      <c r="W416" s="76"/>
      <c r="X416" s="76">
        <f>2*O416</f>
        <v>38.001599999999996</v>
      </c>
      <c r="Y416" s="76"/>
      <c r="Z416" s="76"/>
      <c r="AA416" s="76"/>
      <c r="AB416" s="76"/>
      <c r="AC416" s="76"/>
    </row>
    <row r="417" spans="1:29" s="77" customFormat="1" ht="20.25" customHeight="1" x14ac:dyDescent="0.3">
      <c r="A417" s="65" t="s">
        <v>377</v>
      </c>
      <c r="B417" s="66" t="s">
        <v>480</v>
      </c>
      <c r="C417" s="66" t="s">
        <v>69</v>
      </c>
      <c r="D417" s="83" t="s">
        <v>74</v>
      </c>
      <c r="E417" s="84" t="s">
        <v>455</v>
      </c>
      <c r="F417" s="85" t="s">
        <v>87</v>
      </c>
      <c r="G417" s="85">
        <v>21101</v>
      </c>
      <c r="H417" s="80" t="s">
        <v>500</v>
      </c>
      <c r="I417" s="67" t="s">
        <v>501</v>
      </c>
      <c r="J417" s="71" t="s">
        <v>502</v>
      </c>
      <c r="K417" s="72" t="s">
        <v>379</v>
      </c>
      <c r="L417" s="73" t="s">
        <v>379</v>
      </c>
      <c r="M417" s="72" t="s">
        <v>55</v>
      </c>
      <c r="N417" s="69">
        <f t="shared" si="21"/>
        <v>6.0000000000000009</v>
      </c>
      <c r="O417" s="74">
        <v>1198.9991999999997</v>
      </c>
      <c r="P417" s="75" t="s">
        <v>484</v>
      </c>
      <c r="Q417" s="76">
        <f t="shared" si="20"/>
        <v>7193.9951999999994</v>
      </c>
      <c r="R417" s="76"/>
      <c r="S417" s="76">
        <f>1*O417</f>
        <v>1198.9991999999997</v>
      </c>
      <c r="T417" s="76"/>
      <c r="U417" s="76">
        <f>1*O417</f>
        <v>1198.9991999999997</v>
      </c>
      <c r="V417" s="76"/>
      <c r="W417" s="76">
        <f>1*O417</f>
        <v>1198.9991999999997</v>
      </c>
      <c r="X417" s="76"/>
      <c r="Y417" s="76">
        <f>1*O417</f>
        <v>1198.9991999999997</v>
      </c>
      <c r="Z417" s="76"/>
      <c r="AA417" s="76">
        <f>1*O417</f>
        <v>1198.9991999999997</v>
      </c>
      <c r="AB417" s="76">
        <f>1*O417</f>
        <v>1198.9991999999997</v>
      </c>
      <c r="AC417" s="76"/>
    </row>
    <row r="418" spans="1:29" s="77" customFormat="1" ht="20.25" customHeight="1" x14ac:dyDescent="0.3">
      <c r="A418" s="65" t="s">
        <v>377</v>
      </c>
      <c r="B418" s="66" t="s">
        <v>480</v>
      </c>
      <c r="C418" s="66" t="s">
        <v>69</v>
      </c>
      <c r="D418" s="83" t="s">
        <v>70</v>
      </c>
      <c r="E418" s="84" t="s">
        <v>69</v>
      </c>
      <c r="F418" s="85" t="s">
        <v>71</v>
      </c>
      <c r="G418" s="85">
        <v>21101</v>
      </c>
      <c r="H418" s="80" t="s">
        <v>500</v>
      </c>
      <c r="I418" s="67" t="s">
        <v>518</v>
      </c>
      <c r="J418" s="71" t="s">
        <v>519</v>
      </c>
      <c r="K418" s="72" t="s">
        <v>379</v>
      </c>
      <c r="L418" s="73" t="s">
        <v>379</v>
      </c>
      <c r="M418" s="72" t="s">
        <v>383</v>
      </c>
      <c r="N418" s="69">
        <f t="shared" si="21"/>
        <v>14</v>
      </c>
      <c r="O418" s="74">
        <v>78.995999999999981</v>
      </c>
      <c r="P418" s="75" t="s">
        <v>484</v>
      </c>
      <c r="Q418" s="76">
        <f t="shared" si="20"/>
        <v>1105.9439999999997</v>
      </c>
      <c r="R418" s="76"/>
      <c r="S418" s="76">
        <f>2*O418</f>
        <v>157.99199999999996</v>
      </c>
      <c r="T418" s="76">
        <f>2*O418</f>
        <v>157.99199999999996</v>
      </c>
      <c r="U418" s="76">
        <f>2*O418</f>
        <v>157.99199999999996</v>
      </c>
      <c r="V418" s="76"/>
      <c r="W418" s="76">
        <f>3*O418</f>
        <v>236.98799999999994</v>
      </c>
      <c r="X418" s="76"/>
      <c r="Y418" s="76">
        <f>5*O418</f>
        <v>394.9799999999999</v>
      </c>
      <c r="Z418" s="76"/>
      <c r="AA418" s="76"/>
      <c r="AB418" s="76"/>
      <c r="AC418" s="76"/>
    </row>
    <row r="419" spans="1:29" s="77" customFormat="1" ht="20.25" customHeight="1" x14ac:dyDescent="0.3">
      <c r="A419" s="65" t="s">
        <v>377</v>
      </c>
      <c r="B419" s="66" t="s">
        <v>480</v>
      </c>
      <c r="C419" s="66" t="s">
        <v>69</v>
      </c>
      <c r="D419" s="83" t="s">
        <v>70</v>
      </c>
      <c r="E419" s="84" t="s">
        <v>69</v>
      </c>
      <c r="F419" s="85" t="s">
        <v>71</v>
      </c>
      <c r="G419" s="85">
        <v>21101</v>
      </c>
      <c r="H419" s="81" t="s">
        <v>500</v>
      </c>
      <c r="I419" s="67" t="s">
        <v>516</v>
      </c>
      <c r="J419" s="90" t="s">
        <v>520</v>
      </c>
      <c r="K419" s="72" t="s">
        <v>379</v>
      </c>
      <c r="L419" s="73" t="s">
        <v>379</v>
      </c>
      <c r="M419" s="72" t="s">
        <v>383</v>
      </c>
      <c r="N419" s="69">
        <f t="shared" si="21"/>
        <v>7</v>
      </c>
      <c r="O419" s="74">
        <v>20</v>
      </c>
      <c r="P419" s="75" t="s">
        <v>484</v>
      </c>
      <c r="Q419" s="76">
        <f t="shared" si="20"/>
        <v>140</v>
      </c>
      <c r="R419" s="76"/>
      <c r="S419" s="76">
        <f>2*O419</f>
        <v>40</v>
      </c>
      <c r="T419" s="76"/>
      <c r="U419" s="76"/>
      <c r="V419" s="76">
        <f>5*O419</f>
        <v>100</v>
      </c>
      <c r="W419" s="76"/>
      <c r="X419" s="76"/>
      <c r="Y419" s="76"/>
      <c r="Z419" s="76"/>
      <c r="AA419" s="76"/>
      <c r="AB419" s="76"/>
      <c r="AC419" s="76"/>
    </row>
    <row r="420" spans="1:29" s="77" customFormat="1" ht="20.25" customHeight="1" x14ac:dyDescent="0.3">
      <c r="A420" s="65" t="s">
        <v>377</v>
      </c>
      <c r="B420" s="66" t="s">
        <v>480</v>
      </c>
      <c r="C420" s="66" t="s">
        <v>69</v>
      </c>
      <c r="D420" s="83" t="s">
        <v>70</v>
      </c>
      <c r="E420" s="84" t="s">
        <v>69</v>
      </c>
      <c r="F420" s="85" t="s">
        <v>71</v>
      </c>
      <c r="G420" s="85">
        <v>21101</v>
      </c>
      <c r="H420" s="80" t="s">
        <v>500</v>
      </c>
      <c r="I420" s="67" t="s">
        <v>521</v>
      </c>
      <c r="J420" s="71" t="s">
        <v>522</v>
      </c>
      <c r="K420" s="72" t="s">
        <v>379</v>
      </c>
      <c r="L420" s="73" t="s">
        <v>379</v>
      </c>
      <c r="M420" s="72" t="s">
        <v>383</v>
      </c>
      <c r="N420" s="69">
        <f t="shared" si="21"/>
        <v>4</v>
      </c>
      <c r="O420" s="74">
        <v>769</v>
      </c>
      <c r="P420" s="75" t="s">
        <v>484</v>
      </c>
      <c r="Q420" s="76">
        <f t="shared" si="20"/>
        <v>3076</v>
      </c>
      <c r="R420" s="76"/>
      <c r="S420" s="76"/>
      <c r="T420" s="76"/>
      <c r="U420" s="76"/>
      <c r="V420" s="76"/>
      <c r="W420" s="76"/>
      <c r="X420" s="76">
        <f>1*O420</f>
        <v>769</v>
      </c>
      <c r="Y420" s="76"/>
      <c r="Z420" s="76">
        <f>1*O420</f>
        <v>769</v>
      </c>
      <c r="AA420" s="76">
        <f>1*O420</f>
        <v>769</v>
      </c>
      <c r="AB420" s="76">
        <f>1*O420</f>
        <v>769</v>
      </c>
      <c r="AC420" s="76"/>
    </row>
    <row r="421" spans="1:29" s="77" customFormat="1" ht="20.25" customHeight="1" x14ac:dyDescent="0.3">
      <c r="A421" s="65" t="s">
        <v>377</v>
      </c>
      <c r="B421" s="66" t="s">
        <v>480</v>
      </c>
      <c r="C421" s="66" t="s">
        <v>69</v>
      </c>
      <c r="D421" s="83" t="s">
        <v>70</v>
      </c>
      <c r="E421" s="84" t="s">
        <v>69</v>
      </c>
      <c r="F421" s="85" t="s">
        <v>71</v>
      </c>
      <c r="G421" s="85">
        <v>21101</v>
      </c>
      <c r="H421" s="80" t="s">
        <v>500</v>
      </c>
      <c r="I421" s="72" t="s">
        <v>334</v>
      </c>
      <c r="J421" s="90" t="s">
        <v>523</v>
      </c>
      <c r="K421" s="72" t="s">
        <v>379</v>
      </c>
      <c r="L421" s="73" t="s">
        <v>379</v>
      </c>
      <c r="M421" s="72" t="s">
        <v>383</v>
      </c>
      <c r="N421" s="69">
        <f t="shared" si="21"/>
        <v>5</v>
      </c>
      <c r="O421" s="74">
        <v>309</v>
      </c>
      <c r="P421" s="75" t="s">
        <v>484</v>
      </c>
      <c r="Q421" s="76">
        <f t="shared" si="20"/>
        <v>1545</v>
      </c>
      <c r="R421" s="76"/>
      <c r="S421" s="76">
        <f>2*O421</f>
        <v>618</v>
      </c>
      <c r="T421" s="76"/>
      <c r="U421" s="76"/>
      <c r="V421" s="76">
        <f>1*O421</f>
        <v>309</v>
      </c>
      <c r="W421" s="76"/>
      <c r="X421" s="76">
        <f>1*O421</f>
        <v>309</v>
      </c>
      <c r="Y421" s="76">
        <f>1*O421</f>
        <v>309</v>
      </c>
      <c r="Z421" s="76"/>
      <c r="AA421" s="76"/>
      <c r="AB421" s="76"/>
      <c r="AC421" s="76"/>
    </row>
    <row r="422" spans="1:29" s="77" customFormat="1" ht="20.25" customHeight="1" x14ac:dyDescent="0.3">
      <c r="A422" s="65" t="s">
        <v>377</v>
      </c>
      <c r="B422" s="66" t="s">
        <v>480</v>
      </c>
      <c r="C422" s="66" t="s">
        <v>69</v>
      </c>
      <c r="D422" s="83" t="s">
        <v>70</v>
      </c>
      <c r="E422" s="84" t="s">
        <v>69</v>
      </c>
      <c r="F422" s="85" t="s">
        <v>71</v>
      </c>
      <c r="G422" s="85">
        <v>21101</v>
      </c>
      <c r="H422" s="80" t="s">
        <v>500</v>
      </c>
      <c r="I422" s="67" t="s">
        <v>524</v>
      </c>
      <c r="J422" s="90" t="s">
        <v>525</v>
      </c>
      <c r="K422" s="72" t="s">
        <v>379</v>
      </c>
      <c r="L422" s="73" t="s">
        <v>379</v>
      </c>
      <c r="M422" s="72" t="s">
        <v>383</v>
      </c>
      <c r="N422" s="69">
        <f t="shared" si="21"/>
        <v>1</v>
      </c>
      <c r="O422" s="74">
        <v>98.994399999999999</v>
      </c>
      <c r="P422" s="75" t="s">
        <v>484</v>
      </c>
      <c r="Q422" s="76">
        <f t="shared" si="20"/>
        <v>98.994399999999999</v>
      </c>
      <c r="R422" s="76"/>
      <c r="S422" s="76"/>
      <c r="T422" s="76"/>
      <c r="U422" s="76"/>
      <c r="V422" s="76"/>
      <c r="W422" s="76"/>
      <c r="X422" s="76"/>
      <c r="Y422" s="76">
        <f>1*O422</f>
        <v>98.994399999999999</v>
      </c>
      <c r="Z422" s="76"/>
      <c r="AA422" s="76"/>
      <c r="AB422" s="76"/>
      <c r="AC422" s="76"/>
    </row>
    <row r="423" spans="1:29" s="77" customFormat="1" ht="20.25" customHeight="1" x14ac:dyDescent="0.3">
      <c r="A423" s="65" t="s">
        <v>377</v>
      </c>
      <c r="B423" s="66" t="s">
        <v>480</v>
      </c>
      <c r="C423" s="66" t="s">
        <v>69</v>
      </c>
      <c r="D423" s="83" t="s">
        <v>70</v>
      </c>
      <c r="E423" s="84" t="s">
        <v>69</v>
      </c>
      <c r="F423" s="85" t="s">
        <v>71</v>
      </c>
      <c r="G423" s="85">
        <v>21101</v>
      </c>
      <c r="H423" s="80" t="s">
        <v>500</v>
      </c>
      <c r="I423" s="67" t="s">
        <v>526</v>
      </c>
      <c r="J423" s="90" t="s">
        <v>527</v>
      </c>
      <c r="K423" s="72" t="s">
        <v>379</v>
      </c>
      <c r="L423" s="73" t="s">
        <v>379</v>
      </c>
      <c r="M423" s="72" t="s">
        <v>383</v>
      </c>
      <c r="N423" s="69">
        <f t="shared" si="21"/>
        <v>2</v>
      </c>
      <c r="O423" s="74">
        <v>174.99760000000001</v>
      </c>
      <c r="P423" s="75" t="s">
        <v>484</v>
      </c>
      <c r="Q423" s="76">
        <f t="shared" si="20"/>
        <v>349.99520000000001</v>
      </c>
      <c r="R423" s="76"/>
      <c r="S423" s="76"/>
      <c r="T423" s="76"/>
      <c r="U423" s="76"/>
      <c r="V423" s="76"/>
      <c r="W423" s="76"/>
      <c r="X423" s="76">
        <f>2*O423</f>
        <v>349.99520000000001</v>
      </c>
      <c r="Y423" s="76"/>
      <c r="Z423" s="76"/>
      <c r="AA423" s="76"/>
      <c r="AB423" s="76"/>
      <c r="AC423" s="76"/>
    </row>
    <row r="424" spans="1:29" s="77" customFormat="1" ht="20.25" customHeight="1" x14ac:dyDescent="0.3">
      <c r="A424" s="65" t="s">
        <v>377</v>
      </c>
      <c r="B424" s="66" t="s">
        <v>480</v>
      </c>
      <c r="C424" s="66" t="s">
        <v>69</v>
      </c>
      <c r="D424" s="83" t="s">
        <v>70</v>
      </c>
      <c r="E424" s="84" t="s">
        <v>69</v>
      </c>
      <c r="F424" s="85" t="s">
        <v>71</v>
      </c>
      <c r="G424" s="85">
        <v>21101</v>
      </c>
      <c r="H424" s="80" t="s">
        <v>500</v>
      </c>
      <c r="I424" s="67" t="s">
        <v>279</v>
      </c>
      <c r="J424" s="71" t="s">
        <v>528</v>
      </c>
      <c r="K424" s="72" t="s">
        <v>379</v>
      </c>
      <c r="L424" s="73" t="s">
        <v>379</v>
      </c>
      <c r="M424" s="72" t="s">
        <v>383</v>
      </c>
      <c r="N424" s="69">
        <f t="shared" si="21"/>
        <v>40</v>
      </c>
      <c r="O424" s="74">
        <v>57.999999999999993</v>
      </c>
      <c r="P424" s="75" t="s">
        <v>484</v>
      </c>
      <c r="Q424" s="76">
        <f t="shared" si="20"/>
        <v>2319.9999999999995</v>
      </c>
      <c r="R424" s="76"/>
      <c r="S424" s="76"/>
      <c r="T424" s="76"/>
      <c r="U424" s="76">
        <f>5*O424</f>
        <v>289.99999999999994</v>
      </c>
      <c r="V424" s="76">
        <f>6*O424</f>
        <v>347.99999999999994</v>
      </c>
      <c r="W424" s="76"/>
      <c r="X424" s="76">
        <f>5*O424</f>
        <v>289.99999999999994</v>
      </c>
      <c r="Y424" s="76"/>
      <c r="Z424" s="76">
        <f>6*O424</f>
        <v>347.99999999999994</v>
      </c>
      <c r="AA424" s="76">
        <f>6*O424</f>
        <v>347.99999999999994</v>
      </c>
      <c r="AB424" s="76">
        <f>6*O424</f>
        <v>347.99999999999994</v>
      </c>
      <c r="AC424" s="76">
        <f>6*O424</f>
        <v>347.99999999999994</v>
      </c>
    </row>
    <row r="425" spans="1:29" s="77" customFormat="1" ht="20.25" customHeight="1" x14ac:dyDescent="0.3">
      <c r="A425" s="65" t="s">
        <v>377</v>
      </c>
      <c r="B425" s="66" t="s">
        <v>480</v>
      </c>
      <c r="C425" s="66" t="s">
        <v>69</v>
      </c>
      <c r="D425" s="83" t="s">
        <v>70</v>
      </c>
      <c r="E425" s="84" t="s">
        <v>69</v>
      </c>
      <c r="F425" s="85" t="s">
        <v>71</v>
      </c>
      <c r="G425" s="85">
        <v>21101</v>
      </c>
      <c r="H425" s="80" t="s">
        <v>500</v>
      </c>
      <c r="I425" s="67" t="s">
        <v>293</v>
      </c>
      <c r="J425" s="71" t="s">
        <v>122</v>
      </c>
      <c r="K425" s="72" t="s">
        <v>379</v>
      </c>
      <c r="L425" s="73" t="s">
        <v>379</v>
      </c>
      <c r="M425" s="72" t="s">
        <v>383</v>
      </c>
      <c r="N425" s="69">
        <f t="shared" si="21"/>
        <v>8</v>
      </c>
      <c r="O425" s="74">
        <v>11.994399999999999</v>
      </c>
      <c r="P425" s="75" t="s">
        <v>484</v>
      </c>
      <c r="Q425" s="76">
        <f t="shared" si="20"/>
        <v>95.955199999999991</v>
      </c>
      <c r="R425" s="76"/>
      <c r="S425" s="76"/>
      <c r="T425" s="76"/>
      <c r="U425" s="76"/>
      <c r="V425" s="76"/>
      <c r="W425" s="76"/>
      <c r="X425" s="76">
        <f>6*O425</f>
        <v>71.966399999999993</v>
      </c>
      <c r="Y425" s="76">
        <f>2*O425</f>
        <v>23.988799999999998</v>
      </c>
      <c r="Z425" s="76"/>
      <c r="AA425" s="76"/>
      <c r="AB425" s="76"/>
      <c r="AC425" s="76"/>
    </row>
    <row r="426" spans="1:29" s="77" customFormat="1" ht="20.25" customHeight="1" x14ac:dyDescent="0.3">
      <c r="A426" s="65" t="s">
        <v>377</v>
      </c>
      <c r="B426" s="66" t="s">
        <v>480</v>
      </c>
      <c r="C426" s="66" t="s">
        <v>69</v>
      </c>
      <c r="D426" s="83" t="s">
        <v>74</v>
      </c>
      <c r="E426" s="84" t="s">
        <v>455</v>
      </c>
      <c r="F426" s="85" t="s">
        <v>87</v>
      </c>
      <c r="G426" s="85">
        <v>21101</v>
      </c>
      <c r="H426" s="80" t="s">
        <v>500</v>
      </c>
      <c r="I426" s="67" t="s">
        <v>395</v>
      </c>
      <c r="J426" s="71" t="s">
        <v>396</v>
      </c>
      <c r="K426" s="72" t="s">
        <v>379</v>
      </c>
      <c r="L426" s="73" t="s">
        <v>379</v>
      </c>
      <c r="M426" s="72" t="s">
        <v>383</v>
      </c>
      <c r="N426" s="69">
        <f t="shared" si="21"/>
        <v>16</v>
      </c>
      <c r="O426" s="74">
        <v>14.998799999999999</v>
      </c>
      <c r="P426" s="75" t="s">
        <v>484</v>
      </c>
      <c r="Q426" s="76">
        <f t="shared" si="20"/>
        <v>239.98079999999999</v>
      </c>
      <c r="R426" s="76"/>
      <c r="S426" s="76">
        <f>3*O426</f>
        <v>44.996399999999994</v>
      </c>
      <c r="T426" s="76"/>
      <c r="U426" s="76">
        <f>3*O426</f>
        <v>44.996399999999994</v>
      </c>
      <c r="V426" s="76"/>
      <c r="W426" s="76">
        <f>2*O426</f>
        <v>29.997599999999998</v>
      </c>
      <c r="X426" s="76"/>
      <c r="Y426" s="76">
        <f>3*O426</f>
        <v>44.996399999999994</v>
      </c>
      <c r="Z426" s="76"/>
      <c r="AA426" s="76">
        <f>3*O426</f>
        <v>44.996399999999994</v>
      </c>
      <c r="AB426" s="76">
        <f>2*O426</f>
        <v>29.997599999999998</v>
      </c>
      <c r="AC426" s="76"/>
    </row>
    <row r="427" spans="1:29" s="77" customFormat="1" ht="20.25" customHeight="1" x14ac:dyDescent="0.3">
      <c r="A427" s="65" t="s">
        <v>377</v>
      </c>
      <c r="B427" s="66" t="s">
        <v>480</v>
      </c>
      <c r="C427" s="66" t="s">
        <v>69</v>
      </c>
      <c r="D427" s="83" t="s">
        <v>70</v>
      </c>
      <c r="E427" s="84" t="s">
        <v>69</v>
      </c>
      <c r="F427" s="85" t="s">
        <v>71</v>
      </c>
      <c r="G427" s="85">
        <v>21101</v>
      </c>
      <c r="H427" s="80" t="s">
        <v>500</v>
      </c>
      <c r="I427" s="67" t="s">
        <v>529</v>
      </c>
      <c r="J427" s="71" t="s">
        <v>530</v>
      </c>
      <c r="K427" s="72" t="s">
        <v>379</v>
      </c>
      <c r="L427" s="73" t="s">
        <v>379</v>
      </c>
      <c r="M427" s="72" t="s">
        <v>383</v>
      </c>
      <c r="N427" s="69">
        <f t="shared" si="21"/>
        <v>4</v>
      </c>
      <c r="O427" s="74">
        <v>68.996799999999993</v>
      </c>
      <c r="P427" s="75" t="s">
        <v>484</v>
      </c>
      <c r="Q427" s="76">
        <f t="shared" si="20"/>
        <v>275.98719999999997</v>
      </c>
      <c r="R427" s="76"/>
      <c r="S427" s="76"/>
      <c r="T427" s="76"/>
      <c r="U427" s="76"/>
      <c r="V427" s="76"/>
      <c r="W427" s="76"/>
      <c r="X427" s="76">
        <f>1*O427</f>
        <v>68.996799999999993</v>
      </c>
      <c r="Y427" s="76"/>
      <c r="Z427" s="76"/>
      <c r="AA427" s="76"/>
      <c r="AB427" s="76"/>
      <c r="AC427" s="76">
        <f>3*O427</f>
        <v>206.99039999999997</v>
      </c>
    </row>
    <row r="428" spans="1:29" s="77" customFormat="1" ht="20.25" customHeight="1" x14ac:dyDescent="0.3">
      <c r="A428" s="65" t="s">
        <v>377</v>
      </c>
      <c r="B428" s="66" t="s">
        <v>480</v>
      </c>
      <c r="C428" s="66" t="s">
        <v>69</v>
      </c>
      <c r="D428" s="83" t="s">
        <v>70</v>
      </c>
      <c r="E428" s="84" t="s">
        <v>69</v>
      </c>
      <c r="F428" s="85" t="s">
        <v>71</v>
      </c>
      <c r="G428" s="85">
        <v>21101</v>
      </c>
      <c r="H428" s="80" t="s">
        <v>500</v>
      </c>
      <c r="I428" s="67" t="s">
        <v>264</v>
      </c>
      <c r="J428" s="90" t="s">
        <v>37</v>
      </c>
      <c r="K428" s="72" t="s">
        <v>379</v>
      </c>
      <c r="L428" s="73" t="s">
        <v>379</v>
      </c>
      <c r="M428" s="72" t="s">
        <v>383</v>
      </c>
      <c r="N428" s="69">
        <f t="shared" si="21"/>
        <v>9</v>
      </c>
      <c r="O428" s="74">
        <v>188.99879999999999</v>
      </c>
      <c r="P428" s="75" t="s">
        <v>484</v>
      </c>
      <c r="Q428" s="76">
        <f t="shared" si="20"/>
        <v>1700.9892</v>
      </c>
      <c r="R428" s="76"/>
      <c r="S428" s="76"/>
      <c r="T428" s="76">
        <f>5*O428</f>
        <v>944.99399999999991</v>
      </c>
      <c r="U428" s="76">
        <f>1*O428</f>
        <v>188.99879999999999</v>
      </c>
      <c r="V428" s="76"/>
      <c r="W428" s="76"/>
      <c r="X428" s="76">
        <f>1*O428</f>
        <v>188.99879999999999</v>
      </c>
      <c r="Y428" s="76">
        <f>2*O428</f>
        <v>377.99759999999998</v>
      </c>
      <c r="Z428" s="76"/>
      <c r="AA428" s="76"/>
      <c r="AB428" s="76"/>
      <c r="AC428" s="76"/>
    </row>
    <row r="429" spans="1:29" s="77" customFormat="1" ht="20.25" customHeight="1" x14ac:dyDescent="0.3">
      <c r="A429" s="65" t="s">
        <v>377</v>
      </c>
      <c r="B429" s="66" t="s">
        <v>480</v>
      </c>
      <c r="C429" s="66" t="s">
        <v>69</v>
      </c>
      <c r="D429" s="83" t="s">
        <v>70</v>
      </c>
      <c r="E429" s="84" t="s">
        <v>69</v>
      </c>
      <c r="F429" s="85" t="s">
        <v>71</v>
      </c>
      <c r="G429" s="85">
        <v>21101</v>
      </c>
      <c r="H429" s="80" t="s">
        <v>500</v>
      </c>
      <c r="I429" s="72" t="s">
        <v>531</v>
      </c>
      <c r="J429" s="93" t="s">
        <v>532</v>
      </c>
      <c r="K429" s="72" t="s">
        <v>379</v>
      </c>
      <c r="L429" s="73" t="s">
        <v>379</v>
      </c>
      <c r="M429" s="72" t="s">
        <v>383</v>
      </c>
      <c r="N429" s="69">
        <f t="shared" si="21"/>
        <v>2</v>
      </c>
      <c r="O429" s="74">
        <v>26.099999999999998</v>
      </c>
      <c r="P429" s="75" t="s">
        <v>484</v>
      </c>
      <c r="Q429" s="76">
        <f t="shared" si="20"/>
        <v>52.199999999999996</v>
      </c>
      <c r="R429" s="76"/>
      <c r="S429" s="76"/>
      <c r="T429" s="76"/>
      <c r="U429" s="76"/>
      <c r="V429" s="76"/>
      <c r="W429" s="76"/>
      <c r="X429" s="76">
        <f>2*O429</f>
        <v>52.199999999999996</v>
      </c>
      <c r="Y429" s="76"/>
      <c r="Z429" s="76"/>
      <c r="AA429" s="76"/>
      <c r="AB429" s="76"/>
      <c r="AC429" s="76"/>
    </row>
    <row r="430" spans="1:29" s="77" customFormat="1" ht="20.25" customHeight="1" x14ac:dyDescent="0.3">
      <c r="A430" s="65" t="s">
        <v>377</v>
      </c>
      <c r="B430" s="66" t="s">
        <v>480</v>
      </c>
      <c r="C430" s="66" t="s">
        <v>69</v>
      </c>
      <c r="D430" s="83" t="s">
        <v>70</v>
      </c>
      <c r="E430" s="84" t="s">
        <v>69</v>
      </c>
      <c r="F430" s="85" t="s">
        <v>71</v>
      </c>
      <c r="G430" s="85">
        <v>21401</v>
      </c>
      <c r="H430" s="70" t="s">
        <v>533</v>
      </c>
      <c r="I430" s="67" t="s">
        <v>534</v>
      </c>
      <c r="J430" s="71" t="s">
        <v>535</v>
      </c>
      <c r="K430" s="72" t="s">
        <v>379</v>
      </c>
      <c r="L430" s="73" t="s">
        <v>379</v>
      </c>
      <c r="M430" s="72" t="s">
        <v>383</v>
      </c>
      <c r="N430" s="69">
        <f t="shared" si="21"/>
        <v>9.0000000000000018</v>
      </c>
      <c r="O430" s="74">
        <v>1136.8</v>
      </c>
      <c r="P430" s="75" t="s">
        <v>536</v>
      </c>
      <c r="Q430" s="76">
        <f t="shared" si="20"/>
        <v>10231.200000000001</v>
      </c>
      <c r="R430" s="76"/>
      <c r="S430" s="76">
        <f>2*O430</f>
        <v>2273.6</v>
      </c>
      <c r="T430" s="76"/>
      <c r="U430" s="76">
        <f>3*O430</f>
        <v>3410.3999999999996</v>
      </c>
      <c r="V430" s="76"/>
      <c r="W430" s="76"/>
      <c r="X430" s="76">
        <f>2*O430</f>
        <v>2273.6</v>
      </c>
      <c r="Y430" s="76"/>
      <c r="Z430" s="76"/>
      <c r="AA430" s="76">
        <f>2*O430</f>
        <v>2273.6</v>
      </c>
      <c r="AB430" s="76"/>
      <c r="AC430" s="76"/>
    </row>
    <row r="431" spans="1:29" s="77" customFormat="1" ht="20.25" customHeight="1" x14ac:dyDescent="0.3">
      <c r="A431" s="65" t="s">
        <v>377</v>
      </c>
      <c r="B431" s="66" t="s">
        <v>480</v>
      </c>
      <c r="C431" s="66" t="s">
        <v>69</v>
      </c>
      <c r="D431" s="83" t="s">
        <v>70</v>
      </c>
      <c r="E431" s="84" t="s">
        <v>69</v>
      </c>
      <c r="F431" s="85" t="s">
        <v>71</v>
      </c>
      <c r="G431" s="85">
        <v>21401</v>
      </c>
      <c r="H431" s="70" t="s">
        <v>533</v>
      </c>
      <c r="I431" s="67" t="s">
        <v>425</v>
      </c>
      <c r="J431" s="71" t="s">
        <v>426</v>
      </c>
      <c r="K431" s="72" t="s">
        <v>379</v>
      </c>
      <c r="L431" s="73" t="s">
        <v>379</v>
      </c>
      <c r="M431" s="72" t="s">
        <v>383</v>
      </c>
      <c r="N431" s="69">
        <f t="shared" si="21"/>
        <v>9</v>
      </c>
      <c r="O431" s="74">
        <v>462.84</v>
      </c>
      <c r="P431" s="75" t="s">
        <v>536</v>
      </c>
      <c r="Q431" s="76">
        <f t="shared" si="20"/>
        <v>4165.5599999999995</v>
      </c>
      <c r="R431" s="76"/>
      <c r="S431" s="76">
        <f>2*O431</f>
        <v>925.68</v>
      </c>
      <c r="T431" s="76"/>
      <c r="U431" s="76">
        <f>3*O431</f>
        <v>1388.52</v>
      </c>
      <c r="V431" s="76"/>
      <c r="W431" s="76"/>
      <c r="X431" s="76">
        <f>2*O431</f>
        <v>925.68</v>
      </c>
      <c r="Y431" s="76"/>
      <c r="Z431" s="76"/>
      <c r="AA431" s="76">
        <f>2*O431</f>
        <v>925.68</v>
      </c>
      <c r="AB431" s="76"/>
      <c r="AC431" s="76"/>
    </row>
    <row r="432" spans="1:29" s="77" customFormat="1" ht="20.25" customHeight="1" x14ac:dyDescent="0.3">
      <c r="A432" s="65" t="s">
        <v>377</v>
      </c>
      <c r="B432" s="66" t="s">
        <v>480</v>
      </c>
      <c r="C432" s="66" t="s">
        <v>69</v>
      </c>
      <c r="D432" s="83" t="s">
        <v>70</v>
      </c>
      <c r="E432" s="84" t="s">
        <v>69</v>
      </c>
      <c r="F432" s="85" t="s">
        <v>71</v>
      </c>
      <c r="G432" s="85">
        <v>21401</v>
      </c>
      <c r="H432" s="70" t="s">
        <v>533</v>
      </c>
      <c r="I432" s="67" t="s">
        <v>341</v>
      </c>
      <c r="J432" s="71" t="s">
        <v>537</v>
      </c>
      <c r="K432" s="72" t="s">
        <v>379</v>
      </c>
      <c r="L432" s="73" t="s">
        <v>379</v>
      </c>
      <c r="M432" s="72" t="s">
        <v>383</v>
      </c>
      <c r="N432" s="69">
        <f t="shared" si="21"/>
        <v>8</v>
      </c>
      <c r="O432" s="74">
        <v>115.99999999999999</v>
      </c>
      <c r="P432" s="75" t="s">
        <v>536</v>
      </c>
      <c r="Q432" s="76">
        <f t="shared" si="20"/>
        <v>927.99999999999989</v>
      </c>
      <c r="R432" s="76"/>
      <c r="S432" s="76">
        <f>1*O432</f>
        <v>115.99999999999999</v>
      </c>
      <c r="T432" s="76"/>
      <c r="U432" s="76">
        <f>5*O432</f>
        <v>579.99999999999989</v>
      </c>
      <c r="V432" s="76"/>
      <c r="W432" s="76"/>
      <c r="X432" s="76">
        <f>1*O432</f>
        <v>115.99999999999999</v>
      </c>
      <c r="Y432" s="76"/>
      <c r="Z432" s="76"/>
      <c r="AA432" s="76">
        <f>1*O432</f>
        <v>115.99999999999999</v>
      </c>
      <c r="AB432" s="76"/>
      <c r="AC432" s="76"/>
    </row>
    <row r="433" spans="1:29" s="77" customFormat="1" ht="20.25" customHeight="1" x14ac:dyDescent="0.3">
      <c r="A433" s="65" t="s">
        <v>377</v>
      </c>
      <c r="B433" s="66" t="s">
        <v>480</v>
      </c>
      <c r="C433" s="66" t="s">
        <v>69</v>
      </c>
      <c r="D433" s="83" t="s">
        <v>70</v>
      </c>
      <c r="E433" s="84" t="s">
        <v>69</v>
      </c>
      <c r="F433" s="85" t="s">
        <v>71</v>
      </c>
      <c r="G433" s="69">
        <v>21601</v>
      </c>
      <c r="H433" s="70" t="s">
        <v>481</v>
      </c>
      <c r="I433" s="67" t="s">
        <v>538</v>
      </c>
      <c r="J433" s="71" t="s">
        <v>539</v>
      </c>
      <c r="K433" s="72" t="s">
        <v>379</v>
      </c>
      <c r="L433" s="73" t="s">
        <v>379</v>
      </c>
      <c r="M433" s="72" t="s">
        <v>55</v>
      </c>
      <c r="N433" s="69">
        <f t="shared" si="21"/>
        <v>15</v>
      </c>
      <c r="O433" s="74">
        <v>359.05479999999994</v>
      </c>
      <c r="P433" s="75" t="s">
        <v>484</v>
      </c>
      <c r="Q433" s="76">
        <f t="shared" si="20"/>
        <v>5385.8219999999992</v>
      </c>
      <c r="R433" s="76"/>
      <c r="S433" s="76">
        <f>3*O433</f>
        <v>1077.1643999999999</v>
      </c>
      <c r="T433" s="76"/>
      <c r="U433" s="76">
        <f>3*O433</f>
        <v>1077.1643999999999</v>
      </c>
      <c r="V433" s="76"/>
      <c r="W433" s="76">
        <f>3*O433</f>
        <v>1077.1643999999999</v>
      </c>
      <c r="X433" s="76"/>
      <c r="Y433" s="76">
        <f>3*O433</f>
        <v>1077.1643999999999</v>
      </c>
      <c r="Z433" s="76"/>
      <c r="AA433" s="76">
        <f>3*O433</f>
        <v>1077.1643999999999</v>
      </c>
      <c r="AB433" s="76"/>
      <c r="AC433" s="76"/>
    </row>
    <row r="434" spans="1:29" s="77" customFormat="1" ht="20.25" customHeight="1" x14ac:dyDescent="0.3">
      <c r="A434" s="65" t="s">
        <v>377</v>
      </c>
      <c r="B434" s="66" t="s">
        <v>480</v>
      </c>
      <c r="C434" s="66" t="s">
        <v>69</v>
      </c>
      <c r="D434" s="83" t="s">
        <v>70</v>
      </c>
      <c r="E434" s="84" t="s">
        <v>69</v>
      </c>
      <c r="F434" s="85" t="s">
        <v>71</v>
      </c>
      <c r="G434" s="69">
        <v>21601</v>
      </c>
      <c r="H434" s="70" t="s">
        <v>481</v>
      </c>
      <c r="I434" s="67" t="s">
        <v>540</v>
      </c>
      <c r="J434" s="71" t="s">
        <v>541</v>
      </c>
      <c r="K434" s="72" t="s">
        <v>379</v>
      </c>
      <c r="L434" s="73" t="s">
        <v>379</v>
      </c>
      <c r="M434" s="72" t="s">
        <v>383</v>
      </c>
      <c r="N434" s="69">
        <f t="shared" si="21"/>
        <v>12</v>
      </c>
      <c r="O434" s="74">
        <v>97.184799999999996</v>
      </c>
      <c r="P434" s="75" t="s">
        <v>484</v>
      </c>
      <c r="Q434" s="76">
        <f t="shared" si="20"/>
        <v>1166.2175999999999</v>
      </c>
      <c r="R434" s="76"/>
      <c r="S434" s="76">
        <f>2*O434</f>
        <v>194.36959999999999</v>
      </c>
      <c r="T434" s="76"/>
      <c r="U434" s="76">
        <f>3*O434</f>
        <v>291.55439999999999</v>
      </c>
      <c r="V434" s="76"/>
      <c r="W434" s="76">
        <f>2*O434</f>
        <v>194.36959999999999</v>
      </c>
      <c r="X434" s="76"/>
      <c r="Y434" s="76">
        <f>3*O434</f>
        <v>291.55439999999999</v>
      </c>
      <c r="Z434" s="76"/>
      <c r="AA434" s="76">
        <f>2*O434</f>
        <v>194.36959999999999</v>
      </c>
      <c r="AB434" s="76"/>
      <c r="AC434" s="76"/>
    </row>
    <row r="435" spans="1:29" s="77" customFormat="1" ht="20.25" customHeight="1" x14ac:dyDescent="0.3">
      <c r="A435" s="65" t="s">
        <v>377</v>
      </c>
      <c r="B435" s="66" t="s">
        <v>480</v>
      </c>
      <c r="C435" s="66" t="s">
        <v>69</v>
      </c>
      <c r="D435" s="83" t="s">
        <v>70</v>
      </c>
      <c r="E435" s="84" t="s">
        <v>69</v>
      </c>
      <c r="F435" s="85" t="s">
        <v>71</v>
      </c>
      <c r="G435" s="69">
        <v>21601</v>
      </c>
      <c r="H435" s="70" t="s">
        <v>481</v>
      </c>
      <c r="I435" s="67" t="s">
        <v>337</v>
      </c>
      <c r="J435" s="71" t="s">
        <v>542</v>
      </c>
      <c r="K435" s="72" t="s">
        <v>379</v>
      </c>
      <c r="L435" s="73" t="s">
        <v>379</v>
      </c>
      <c r="M435" s="72" t="s">
        <v>55</v>
      </c>
      <c r="N435" s="69">
        <f t="shared" si="21"/>
        <v>10.000000000000002</v>
      </c>
      <c r="O435" s="74">
        <v>234.66800000000001</v>
      </c>
      <c r="P435" s="75" t="s">
        <v>484</v>
      </c>
      <c r="Q435" s="76">
        <f t="shared" si="20"/>
        <v>2346.6800000000003</v>
      </c>
      <c r="R435" s="76"/>
      <c r="S435" s="76">
        <f>2*O435</f>
        <v>469.33600000000001</v>
      </c>
      <c r="T435" s="76"/>
      <c r="U435" s="76">
        <f>2*O435</f>
        <v>469.33600000000001</v>
      </c>
      <c r="V435" s="76"/>
      <c r="W435" s="76">
        <f>2*O435</f>
        <v>469.33600000000001</v>
      </c>
      <c r="X435" s="76"/>
      <c r="Y435" s="76">
        <f>2*O435</f>
        <v>469.33600000000001</v>
      </c>
      <c r="Z435" s="76"/>
      <c r="AA435" s="76">
        <f>2*O435</f>
        <v>469.33600000000001</v>
      </c>
      <c r="AB435" s="76"/>
      <c r="AC435" s="76"/>
    </row>
    <row r="436" spans="1:29" s="77" customFormat="1" ht="20.25" customHeight="1" x14ac:dyDescent="0.3">
      <c r="A436" s="65" t="s">
        <v>377</v>
      </c>
      <c r="B436" s="66" t="s">
        <v>480</v>
      </c>
      <c r="C436" s="66" t="s">
        <v>69</v>
      </c>
      <c r="D436" s="83" t="s">
        <v>70</v>
      </c>
      <c r="E436" s="84" t="s">
        <v>69</v>
      </c>
      <c r="F436" s="85" t="s">
        <v>71</v>
      </c>
      <c r="G436" s="69">
        <v>22104</v>
      </c>
      <c r="H436" s="70" t="s">
        <v>543</v>
      </c>
      <c r="I436" s="67" t="s">
        <v>544</v>
      </c>
      <c r="J436" s="71" t="s">
        <v>545</v>
      </c>
      <c r="K436" s="72" t="s">
        <v>379</v>
      </c>
      <c r="L436" s="73" t="s">
        <v>379</v>
      </c>
      <c r="M436" s="72" t="s">
        <v>383</v>
      </c>
      <c r="N436" s="69">
        <f t="shared" si="21"/>
        <v>118</v>
      </c>
      <c r="O436" s="74">
        <v>50</v>
      </c>
      <c r="P436" s="75" t="s">
        <v>536</v>
      </c>
      <c r="Q436" s="76">
        <f t="shared" si="20"/>
        <v>5900</v>
      </c>
      <c r="R436" s="76"/>
      <c r="S436" s="76">
        <f>12*O436</f>
        <v>600</v>
      </c>
      <c r="T436" s="76">
        <f>12*O436</f>
        <v>600</v>
      </c>
      <c r="U436" s="76">
        <f>12*O436</f>
        <v>600</v>
      </c>
      <c r="V436" s="76">
        <f>12*O436</f>
        <v>600</v>
      </c>
      <c r="W436" s="76">
        <f>6*O436</f>
        <v>300</v>
      </c>
      <c r="X436" s="76">
        <f>12*O436</f>
        <v>600</v>
      </c>
      <c r="Y436" s="76">
        <f>12*O436</f>
        <v>600</v>
      </c>
      <c r="Z436" s="76">
        <f>12*O436</f>
        <v>600</v>
      </c>
      <c r="AA436" s="76">
        <f>12*O436</f>
        <v>600</v>
      </c>
      <c r="AB436" s="76">
        <f>12*O436</f>
        <v>600</v>
      </c>
      <c r="AC436" s="76">
        <f>4*O436</f>
        <v>200</v>
      </c>
    </row>
    <row r="437" spans="1:29" s="77" customFormat="1" ht="20.25" customHeight="1" x14ac:dyDescent="0.3">
      <c r="A437" s="65" t="s">
        <v>377</v>
      </c>
      <c r="B437" s="66" t="s">
        <v>480</v>
      </c>
      <c r="C437" s="66" t="s">
        <v>69</v>
      </c>
      <c r="D437" s="83" t="s">
        <v>546</v>
      </c>
      <c r="E437" s="84" t="s">
        <v>547</v>
      </c>
      <c r="F437" s="85" t="s">
        <v>71</v>
      </c>
      <c r="G437" s="69">
        <v>26105</v>
      </c>
      <c r="H437" s="70" t="s">
        <v>548</v>
      </c>
      <c r="I437" s="67" t="s">
        <v>549</v>
      </c>
      <c r="J437" s="71" t="s">
        <v>550</v>
      </c>
      <c r="K437" s="72" t="s">
        <v>379</v>
      </c>
      <c r="L437" s="73" t="s">
        <v>492</v>
      </c>
      <c r="M437" s="72" t="s">
        <v>429</v>
      </c>
      <c r="N437" s="69">
        <v>1</v>
      </c>
      <c r="O437" s="74">
        <v>899.99759999999992</v>
      </c>
      <c r="P437" s="75" t="s">
        <v>536</v>
      </c>
      <c r="Q437" s="76">
        <f t="shared" si="20"/>
        <v>900</v>
      </c>
      <c r="R437" s="76"/>
      <c r="S437" s="76"/>
      <c r="T437" s="76"/>
      <c r="U437" s="76"/>
      <c r="V437" s="76"/>
      <c r="W437" s="76">
        <v>900</v>
      </c>
      <c r="X437" s="76"/>
      <c r="Y437" s="76"/>
      <c r="Z437" s="76"/>
      <c r="AA437" s="76"/>
      <c r="AB437" s="76"/>
      <c r="AC437" s="76"/>
    </row>
    <row r="438" spans="1:29" s="77" customFormat="1" ht="20.25" customHeight="1" x14ac:dyDescent="0.3">
      <c r="A438" s="65" t="s">
        <v>377</v>
      </c>
      <c r="B438" s="66" t="s">
        <v>480</v>
      </c>
      <c r="C438" s="66" t="s">
        <v>69</v>
      </c>
      <c r="D438" s="83" t="s">
        <v>70</v>
      </c>
      <c r="E438" s="84" t="s">
        <v>69</v>
      </c>
      <c r="F438" s="85" t="s">
        <v>71</v>
      </c>
      <c r="G438" s="69">
        <v>29401</v>
      </c>
      <c r="H438" s="92" t="s">
        <v>551</v>
      </c>
      <c r="I438" s="67" t="s">
        <v>552</v>
      </c>
      <c r="J438" s="71" t="s">
        <v>553</v>
      </c>
      <c r="K438" s="72" t="s">
        <v>379</v>
      </c>
      <c r="L438" s="73" t="s">
        <v>379</v>
      </c>
      <c r="M438" s="72" t="s">
        <v>383</v>
      </c>
      <c r="N438" s="69">
        <f t="shared" si="21"/>
        <v>3</v>
      </c>
      <c r="O438" s="74">
        <v>259.00479999999999</v>
      </c>
      <c r="P438" s="75" t="s">
        <v>536</v>
      </c>
      <c r="Q438" s="76">
        <f t="shared" si="20"/>
        <v>777.01440000000002</v>
      </c>
      <c r="R438" s="76"/>
      <c r="S438" s="76"/>
      <c r="T438" s="76"/>
      <c r="U438" s="76">
        <f>2*O438</f>
        <v>518.00959999999998</v>
      </c>
      <c r="V438" s="76"/>
      <c r="W438" s="76"/>
      <c r="X438" s="76">
        <f>1*O438</f>
        <v>259.00479999999999</v>
      </c>
      <c r="Y438" s="76"/>
      <c r="Z438" s="76"/>
      <c r="AA438" s="76"/>
      <c r="AB438" s="76"/>
      <c r="AC438" s="76"/>
    </row>
    <row r="439" spans="1:29" s="77" customFormat="1" ht="20.25" customHeight="1" x14ac:dyDescent="0.3">
      <c r="A439" s="65" t="s">
        <v>377</v>
      </c>
      <c r="B439" s="66" t="s">
        <v>480</v>
      </c>
      <c r="C439" s="66" t="s">
        <v>69</v>
      </c>
      <c r="D439" s="83" t="s">
        <v>70</v>
      </c>
      <c r="E439" s="84" t="s">
        <v>69</v>
      </c>
      <c r="F439" s="85" t="s">
        <v>71</v>
      </c>
      <c r="G439" s="69">
        <v>29401</v>
      </c>
      <c r="H439" s="92" t="s">
        <v>551</v>
      </c>
      <c r="I439" s="67" t="s">
        <v>554</v>
      </c>
      <c r="J439" s="71" t="s">
        <v>555</v>
      </c>
      <c r="K439" s="72" t="s">
        <v>379</v>
      </c>
      <c r="L439" s="73" t="s">
        <v>379</v>
      </c>
      <c r="M439" s="72" t="s">
        <v>383</v>
      </c>
      <c r="N439" s="69">
        <f t="shared" si="21"/>
        <v>1</v>
      </c>
      <c r="O439" s="74">
        <v>599.00079999999991</v>
      </c>
      <c r="P439" s="75" t="s">
        <v>536</v>
      </c>
      <c r="Q439" s="76">
        <f t="shared" si="20"/>
        <v>599.00079999999991</v>
      </c>
      <c r="R439" s="76"/>
      <c r="S439" s="76">
        <f>1*O439</f>
        <v>599.00079999999991</v>
      </c>
      <c r="T439" s="76"/>
      <c r="U439" s="76"/>
      <c r="V439" s="76"/>
      <c r="W439" s="76"/>
      <c r="X439" s="76"/>
      <c r="Y439" s="76"/>
      <c r="Z439" s="76"/>
      <c r="AA439" s="76"/>
      <c r="AB439" s="76"/>
      <c r="AC439" s="76"/>
    </row>
    <row r="440" spans="1:29" s="77" customFormat="1" ht="20.25" customHeight="1" x14ac:dyDescent="0.3">
      <c r="A440" s="65" t="s">
        <v>377</v>
      </c>
      <c r="B440" s="66" t="s">
        <v>480</v>
      </c>
      <c r="C440" s="66" t="s">
        <v>69</v>
      </c>
      <c r="D440" s="83" t="s">
        <v>70</v>
      </c>
      <c r="E440" s="84" t="s">
        <v>69</v>
      </c>
      <c r="F440" s="85" t="s">
        <v>71</v>
      </c>
      <c r="G440" s="69">
        <v>29401</v>
      </c>
      <c r="H440" s="92" t="s">
        <v>551</v>
      </c>
      <c r="I440" s="67" t="s">
        <v>556</v>
      </c>
      <c r="J440" s="71" t="s">
        <v>557</v>
      </c>
      <c r="K440" s="72" t="s">
        <v>379</v>
      </c>
      <c r="L440" s="73" t="s">
        <v>379</v>
      </c>
      <c r="M440" s="72" t="s">
        <v>383</v>
      </c>
      <c r="N440" s="69">
        <f t="shared" si="21"/>
        <v>1</v>
      </c>
      <c r="O440" s="74">
        <v>898.99999999999989</v>
      </c>
      <c r="P440" s="75" t="s">
        <v>536</v>
      </c>
      <c r="Q440" s="76">
        <f t="shared" si="20"/>
        <v>898.99999999999989</v>
      </c>
      <c r="R440" s="76"/>
      <c r="S440" s="76"/>
      <c r="T440" s="76"/>
      <c r="U440" s="76">
        <f>1*O440</f>
        <v>898.99999999999989</v>
      </c>
      <c r="V440" s="76"/>
      <c r="W440" s="76"/>
      <c r="X440" s="76"/>
      <c r="Y440" s="76"/>
      <c r="Z440" s="76"/>
      <c r="AA440" s="76"/>
      <c r="AB440" s="76"/>
      <c r="AC440" s="76"/>
    </row>
    <row r="441" spans="1:29" s="77" customFormat="1" ht="20.25" customHeight="1" x14ac:dyDescent="0.3">
      <c r="A441" s="65" t="s">
        <v>377</v>
      </c>
      <c r="B441" s="66" t="s">
        <v>480</v>
      </c>
      <c r="C441" s="66" t="s">
        <v>69</v>
      </c>
      <c r="D441" s="83" t="s">
        <v>70</v>
      </c>
      <c r="E441" s="84" t="s">
        <v>69</v>
      </c>
      <c r="F441" s="85" t="s">
        <v>71</v>
      </c>
      <c r="G441" s="69">
        <v>29401</v>
      </c>
      <c r="H441" s="92" t="s">
        <v>551</v>
      </c>
      <c r="I441" s="67" t="s">
        <v>476</v>
      </c>
      <c r="J441" s="71" t="s">
        <v>477</v>
      </c>
      <c r="K441" s="72" t="s">
        <v>379</v>
      </c>
      <c r="L441" s="73" t="s">
        <v>379</v>
      </c>
      <c r="M441" s="72" t="s">
        <v>383</v>
      </c>
      <c r="N441" s="69">
        <f t="shared" si="21"/>
        <v>1</v>
      </c>
      <c r="O441" s="74">
        <v>198.99799999999999</v>
      </c>
      <c r="P441" s="75" t="s">
        <v>536</v>
      </c>
      <c r="Q441" s="76">
        <f t="shared" si="20"/>
        <v>198.99799999999999</v>
      </c>
      <c r="R441" s="76"/>
      <c r="S441" s="76"/>
      <c r="T441" s="76"/>
      <c r="U441" s="76"/>
      <c r="V441" s="76"/>
      <c r="W441" s="76"/>
      <c r="X441" s="76">
        <f>1*O441</f>
        <v>198.99799999999999</v>
      </c>
      <c r="Y441" s="76"/>
      <c r="Z441" s="76"/>
      <c r="AA441" s="76"/>
      <c r="AB441" s="76"/>
      <c r="AC441" s="76"/>
    </row>
    <row r="442" spans="1:29" s="77" customFormat="1" ht="20.25" customHeight="1" x14ac:dyDescent="0.3">
      <c r="A442" s="65" t="s">
        <v>377</v>
      </c>
      <c r="B442" s="66" t="s">
        <v>480</v>
      </c>
      <c r="C442" s="66" t="s">
        <v>69</v>
      </c>
      <c r="D442" s="83" t="s">
        <v>70</v>
      </c>
      <c r="E442" s="84" t="s">
        <v>69</v>
      </c>
      <c r="F442" s="85" t="s">
        <v>71</v>
      </c>
      <c r="G442" s="69">
        <v>29601</v>
      </c>
      <c r="H442" s="70" t="s">
        <v>558</v>
      </c>
      <c r="I442" s="67" t="s">
        <v>559</v>
      </c>
      <c r="J442" s="71" t="s">
        <v>560</v>
      </c>
      <c r="K442" s="72" t="s">
        <v>379</v>
      </c>
      <c r="L442" s="73" t="s">
        <v>379</v>
      </c>
      <c r="M442" s="72" t="s">
        <v>383</v>
      </c>
      <c r="N442" s="69">
        <v>2</v>
      </c>
      <c r="O442" s="74">
        <v>5000.0175999999992</v>
      </c>
      <c r="P442" s="75" t="s">
        <v>536</v>
      </c>
      <c r="Q442" s="76">
        <f t="shared" si="20"/>
        <v>10000</v>
      </c>
      <c r="R442" s="76"/>
      <c r="S442" s="76"/>
      <c r="T442" s="76"/>
      <c r="U442" s="76">
        <v>5000</v>
      </c>
      <c r="V442" s="76"/>
      <c r="W442" s="76"/>
      <c r="X442" s="76">
        <v>5000</v>
      </c>
      <c r="Y442" s="76"/>
      <c r="Z442" s="76"/>
      <c r="AA442" s="76"/>
      <c r="AB442" s="76"/>
      <c r="AC442" s="76"/>
    </row>
    <row r="443" spans="1:29" s="77" customFormat="1" ht="20.25" customHeight="1" x14ac:dyDescent="0.3">
      <c r="A443" s="65" t="s">
        <v>377</v>
      </c>
      <c r="B443" s="66" t="s">
        <v>480</v>
      </c>
      <c r="C443" s="66" t="s">
        <v>69</v>
      </c>
      <c r="D443" s="88" t="s">
        <v>70</v>
      </c>
      <c r="E443" s="88" t="s">
        <v>69</v>
      </c>
      <c r="F443" s="85" t="s">
        <v>72</v>
      </c>
      <c r="G443" s="85">
        <v>32201</v>
      </c>
      <c r="H443" s="70" t="s">
        <v>561</v>
      </c>
      <c r="I443" s="88" t="s">
        <v>429</v>
      </c>
      <c r="J443" s="90" t="s">
        <v>562</v>
      </c>
      <c r="K443" s="72" t="s">
        <v>563</v>
      </c>
      <c r="L443" s="73" t="s">
        <v>492</v>
      </c>
      <c r="M443" s="72" t="s">
        <v>429</v>
      </c>
      <c r="N443" s="89">
        <f t="shared" ref="N443:N490" si="22">Q443/O443</f>
        <v>12</v>
      </c>
      <c r="O443" s="74">
        <v>44643</v>
      </c>
      <c r="P443" s="75" t="s">
        <v>484</v>
      </c>
      <c r="Q443" s="76">
        <f t="shared" si="20"/>
        <v>535716</v>
      </c>
      <c r="R443" s="76"/>
      <c r="S443" s="74">
        <v>44643</v>
      </c>
      <c r="T443" s="74">
        <v>44643</v>
      </c>
      <c r="U443" s="74">
        <v>44643</v>
      </c>
      <c r="V443" s="74">
        <v>44643</v>
      </c>
      <c r="W443" s="74">
        <v>44643</v>
      </c>
      <c r="X443" s="74">
        <v>44643</v>
      </c>
      <c r="Y443" s="74">
        <v>44643</v>
      </c>
      <c r="Z443" s="74">
        <v>44643</v>
      </c>
      <c r="AA443" s="74">
        <v>44643</v>
      </c>
      <c r="AB443" s="74">
        <v>44643</v>
      </c>
      <c r="AC443" s="74">
        <f>44643+AB443</f>
        <v>89286</v>
      </c>
    </row>
    <row r="444" spans="1:29" s="77" customFormat="1" ht="20.25" customHeight="1" x14ac:dyDescent="0.3">
      <c r="A444" s="65" t="s">
        <v>377</v>
      </c>
      <c r="B444" s="66" t="s">
        <v>480</v>
      </c>
      <c r="C444" s="66" t="s">
        <v>69</v>
      </c>
      <c r="D444" s="88" t="s">
        <v>70</v>
      </c>
      <c r="E444" s="88" t="s">
        <v>69</v>
      </c>
      <c r="F444" s="85" t="s">
        <v>72</v>
      </c>
      <c r="G444" s="85">
        <v>33801</v>
      </c>
      <c r="H444" s="70" t="s">
        <v>564</v>
      </c>
      <c r="I444" s="72" t="s">
        <v>429</v>
      </c>
      <c r="J444" s="90" t="s">
        <v>565</v>
      </c>
      <c r="K444" s="72" t="s">
        <v>566</v>
      </c>
      <c r="L444" s="73" t="s">
        <v>492</v>
      </c>
      <c r="M444" s="72" t="s">
        <v>429</v>
      </c>
      <c r="N444" s="89">
        <v>12</v>
      </c>
      <c r="O444" s="74">
        <v>36978.052300000003</v>
      </c>
      <c r="P444" s="91" t="s">
        <v>493</v>
      </c>
      <c r="Q444" s="76">
        <f t="shared" si="20"/>
        <v>443737</v>
      </c>
      <c r="R444" s="76"/>
      <c r="S444" s="76">
        <v>36979</v>
      </c>
      <c r="T444" s="76">
        <v>36978</v>
      </c>
      <c r="U444" s="76">
        <v>36978</v>
      </c>
      <c r="V444" s="76">
        <v>36978</v>
      </c>
      <c r="W444" s="76">
        <v>36978</v>
      </c>
      <c r="X444" s="76">
        <v>36978</v>
      </c>
      <c r="Y444" s="76">
        <v>36978</v>
      </c>
      <c r="Z444" s="76">
        <v>36978</v>
      </c>
      <c r="AA444" s="76">
        <v>36978</v>
      </c>
      <c r="AB444" s="76">
        <v>36978</v>
      </c>
      <c r="AC444" s="76">
        <f>AB444+AA444</f>
        <v>73956</v>
      </c>
    </row>
    <row r="445" spans="1:29" s="77" customFormat="1" ht="20.25" customHeight="1" x14ac:dyDescent="0.3">
      <c r="A445" s="65" t="s">
        <v>377</v>
      </c>
      <c r="B445" s="66" t="s">
        <v>480</v>
      </c>
      <c r="C445" s="66" t="s">
        <v>69</v>
      </c>
      <c r="D445" s="88" t="s">
        <v>70</v>
      </c>
      <c r="E445" s="88" t="s">
        <v>69</v>
      </c>
      <c r="F445" s="85" t="s">
        <v>72</v>
      </c>
      <c r="G445" s="85">
        <v>35801</v>
      </c>
      <c r="H445" s="70" t="s">
        <v>567</v>
      </c>
      <c r="I445" s="72" t="s">
        <v>429</v>
      </c>
      <c r="J445" s="71" t="s">
        <v>567</v>
      </c>
      <c r="K445" s="72" t="s">
        <v>568</v>
      </c>
      <c r="L445" s="73" t="s">
        <v>492</v>
      </c>
      <c r="M445" s="72" t="s">
        <v>429</v>
      </c>
      <c r="N445" s="89">
        <f t="shared" si="22"/>
        <v>11.999999999999998</v>
      </c>
      <c r="O445" s="74">
        <v>19947.000000000004</v>
      </c>
      <c r="P445" s="91" t="s">
        <v>493</v>
      </c>
      <c r="Q445" s="76">
        <f t="shared" si="20"/>
        <v>239364</v>
      </c>
      <c r="R445" s="76"/>
      <c r="S445" s="76">
        <v>19947</v>
      </c>
      <c r="T445" s="76">
        <v>19947</v>
      </c>
      <c r="U445" s="76">
        <v>19947</v>
      </c>
      <c r="V445" s="76">
        <v>19947</v>
      </c>
      <c r="W445" s="76">
        <v>19947</v>
      </c>
      <c r="X445" s="76">
        <v>19947</v>
      </c>
      <c r="Y445" s="76">
        <v>19947</v>
      </c>
      <c r="Z445" s="76">
        <v>19947</v>
      </c>
      <c r="AA445" s="76">
        <v>19947</v>
      </c>
      <c r="AB445" s="76">
        <v>19947</v>
      </c>
      <c r="AC445" s="76">
        <f>AA445+AB445</f>
        <v>39894</v>
      </c>
    </row>
    <row r="446" spans="1:29" s="77" customFormat="1" ht="20.25" customHeight="1" x14ac:dyDescent="0.3">
      <c r="A446" s="65" t="s">
        <v>377</v>
      </c>
      <c r="B446" s="66" t="s">
        <v>480</v>
      </c>
      <c r="C446" s="68" t="s">
        <v>69</v>
      </c>
      <c r="D446" s="68" t="s">
        <v>70</v>
      </c>
      <c r="E446" s="84" t="s">
        <v>69</v>
      </c>
      <c r="F446" s="85" t="s">
        <v>72</v>
      </c>
      <c r="G446" s="85">
        <v>31301</v>
      </c>
      <c r="H446" s="70" t="s">
        <v>569</v>
      </c>
      <c r="I446" s="88" t="s">
        <v>429</v>
      </c>
      <c r="J446" s="90" t="s">
        <v>569</v>
      </c>
      <c r="K446" s="72" t="s">
        <v>379</v>
      </c>
      <c r="L446" s="73" t="s">
        <v>379</v>
      </c>
      <c r="M446" s="72" t="s">
        <v>429</v>
      </c>
      <c r="N446" s="89">
        <f t="shared" si="22"/>
        <v>6</v>
      </c>
      <c r="O446" s="74">
        <v>900</v>
      </c>
      <c r="P446" s="75" t="s">
        <v>484</v>
      </c>
      <c r="Q446" s="76">
        <f t="shared" si="20"/>
        <v>5400</v>
      </c>
      <c r="R446" s="76">
        <v>900</v>
      </c>
      <c r="S446" s="76"/>
      <c r="T446" s="76">
        <v>900</v>
      </c>
      <c r="U446" s="76"/>
      <c r="V446" s="76">
        <v>900</v>
      </c>
      <c r="W446" s="76"/>
      <c r="X446" s="76">
        <v>900</v>
      </c>
      <c r="Y446" s="76"/>
      <c r="Z446" s="76">
        <v>900</v>
      </c>
      <c r="AA446" s="76"/>
      <c r="AB446" s="76">
        <v>900</v>
      </c>
      <c r="AC446" s="76"/>
    </row>
    <row r="447" spans="1:29" s="77" customFormat="1" ht="20.25" customHeight="1" x14ac:dyDescent="0.3">
      <c r="A447" s="65" t="s">
        <v>377</v>
      </c>
      <c r="B447" s="66" t="s">
        <v>480</v>
      </c>
      <c r="C447" s="66" t="s">
        <v>69</v>
      </c>
      <c r="D447" s="83" t="s">
        <v>70</v>
      </c>
      <c r="E447" s="84" t="s">
        <v>69</v>
      </c>
      <c r="F447" s="85" t="s">
        <v>71</v>
      </c>
      <c r="G447" s="85">
        <v>26102</v>
      </c>
      <c r="H447" s="70" t="s">
        <v>570</v>
      </c>
      <c r="I447" s="67" t="s">
        <v>313</v>
      </c>
      <c r="J447" s="71" t="s">
        <v>571</v>
      </c>
      <c r="K447" s="72" t="s">
        <v>491</v>
      </c>
      <c r="L447" s="73" t="s">
        <v>492</v>
      </c>
      <c r="M447" s="72" t="s">
        <v>429</v>
      </c>
      <c r="N447" s="69">
        <f t="shared" si="22"/>
        <v>10</v>
      </c>
      <c r="O447" s="74">
        <f>Q447/10</f>
        <v>1770</v>
      </c>
      <c r="P447" s="75" t="s">
        <v>493</v>
      </c>
      <c r="Q447" s="76">
        <f t="shared" si="20"/>
        <v>17700</v>
      </c>
      <c r="R447" s="76"/>
      <c r="S447" s="76">
        <v>1800</v>
      </c>
      <c r="T447" s="76">
        <v>1800</v>
      </c>
      <c r="U447" s="76">
        <v>1800</v>
      </c>
      <c r="V447" s="76">
        <v>1800</v>
      </c>
      <c r="W447" s="76">
        <v>1800</v>
      </c>
      <c r="X447" s="76">
        <v>1800</v>
      </c>
      <c r="Y447" s="76">
        <v>1800</v>
      </c>
      <c r="Z447" s="76">
        <v>1800</v>
      </c>
      <c r="AA447" s="76">
        <v>1800</v>
      </c>
      <c r="AB447" s="76">
        <v>1500</v>
      </c>
      <c r="AC447" s="76">
        <v>0</v>
      </c>
    </row>
    <row r="448" spans="1:29" s="87" customFormat="1" ht="20.25" customHeight="1" x14ac:dyDescent="0.3">
      <c r="A448" s="65" t="s">
        <v>377</v>
      </c>
      <c r="B448" s="66" t="s">
        <v>480</v>
      </c>
      <c r="C448" s="66" t="s">
        <v>69</v>
      </c>
      <c r="D448" s="68" t="s">
        <v>74</v>
      </c>
      <c r="E448" s="68" t="s">
        <v>572</v>
      </c>
      <c r="F448" s="68" t="s">
        <v>87</v>
      </c>
      <c r="G448" s="85">
        <v>26103</v>
      </c>
      <c r="H448" s="70" t="s">
        <v>488</v>
      </c>
      <c r="I448" s="67" t="s">
        <v>489</v>
      </c>
      <c r="J448" s="71" t="s">
        <v>490</v>
      </c>
      <c r="K448" s="72" t="s">
        <v>491</v>
      </c>
      <c r="L448" s="73" t="s">
        <v>492</v>
      </c>
      <c r="M448" s="72" t="s">
        <v>429</v>
      </c>
      <c r="N448" s="69">
        <f t="shared" si="22"/>
        <v>12</v>
      </c>
      <c r="O448" s="74">
        <f>Q448/12</f>
        <v>2000</v>
      </c>
      <c r="P448" s="75" t="s">
        <v>493</v>
      </c>
      <c r="Q448" s="76">
        <f t="shared" si="20"/>
        <v>24000</v>
      </c>
      <c r="R448" s="86">
        <v>2000</v>
      </c>
      <c r="S448" s="86">
        <v>2000</v>
      </c>
      <c r="T448" s="86">
        <v>2000</v>
      </c>
      <c r="U448" s="86">
        <v>2000</v>
      </c>
      <c r="V448" s="86">
        <v>2000</v>
      </c>
      <c r="W448" s="86">
        <v>2000</v>
      </c>
      <c r="X448" s="86">
        <v>2000</v>
      </c>
      <c r="Y448" s="86">
        <v>2000</v>
      </c>
      <c r="Z448" s="86">
        <v>2000</v>
      </c>
      <c r="AA448" s="86">
        <v>2000</v>
      </c>
      <c r="AB448" s="86">
        <v>2000</v>
      </c>
      <c r="AC448" s="86">
        <v>2000</v>
      </c>
    </row>
    <row r="449" spans="1:29" s="77" customFormat="1" ht="20.25" customHeight="1" x14ac:dyDescent="0.3">
      <c r="A449" s="65" t="s">
        <v>377</v>
      </c>
      <c r="B449" s="66" t="s">
        <v>480</v>
      </c>
      <c r="C449" s="66" t="s">
        <v>69</v>
      </c>
      <c r="D449" s="83" t="s">
        <v>70</v>
      </c>
      <c r="E449" s="84" t="s">
        <v>69</v>
      </c>
      <c r="F449" s="85" t="s">
        <v>71</v>
      </c>
      <c r="G449" s="85">
        <v>21101</v>
      </c>
      <c r="H449" s="80" t="s">
        <v>500</v>
      </c>
      <c r="I449" s="67" t="s">
        <v>505</v>
      </c>
      <c r="J449" s="90" t="s">
        <v>506</v>
      </c>
      <c r="K449" s="72" t="s">
        <v>379</v>
      </c>
      <c r="L449" s="73" t="s">
        <v>379</v>
      </c>
      <c r="M449" s="72" t="s">
        <v>55</v>
      </c>
      <c r="N449" s="69">
        <f t="shared" si="22"/>
        <v>4</v>
      </c>
      <c r="O449" s="74">
        <v>48.998399999999997</v>
      </c>
      <c r="P449" s="75" t="s">
        <v>484</v>
      </c>
      <c r="Q449" s="76">
        <f t="shared" si="20"/>
        <v>195.99359999999999</v>
      </c>
      <c r="R449" s="76"/>
      <c r="S449" s="76"/>
      <c r="T449" s="76"/>
      <c r="U449" s="76"/>
      <c r="V449" s="76"/>
      <c r="W449" s="76"/>
      <c r="X449" s="76">
        <f>2*O449</f>
        <v>97.996799999999993</v>
      </c>
      <c r="Y449" s="76">
        <f>2*O449</f>
        <v>97.996799999999993</v>
      </c>
      <c r="Z449" s="76"/>
      <c r="AA449" s="76"/>
      <c r="AB449" s="76"/>
      <c r="AC449" s="76"/>
    </row>
    <row r="450" spans="1:29" s="77" customFormat="1" ht="20.25" customHeight="1" x14ac:dyDescent="0.3">
      <c r="A450" s="65" t="s">
        <v>377</v>
      </c>
      <c r="B450" s="66" t="s">
        <v>480</v>
      </c>
      <c r="C450" s="66" t="s">
        <v>69</v>
      </c>
      <c r="D450" s="83" t="s">
        <v>74</v>
      </c>
      <c r="E450" s="84" t="s">
        <v>455</v>
      </c>
      <c r="F450" s="85" t="s">
        <v>87</v>
      </c>
      <c r="G450" s="85">
        <v>21101</v>
      </c>
      <c r="H450" s="80" t="s">
        <v>500</v>
      </c>
      <c r="I450" s="72" t="s">
        <v>508</v>
      </c>
      <c r="J450" s="90" t="s">
        <v>509</v>
      </c>
      <c r="K450" s="72" t="s">
        <v>379</v>
      </c>
      <c r="L450" s="73" t="s">
        <v>379</v>
      </c>
      <c r="M450" s="72" t="s">
        <v>383</v>
      </c>
      <c r="N450" s="69">
        <f t="shared" si="22"/>
        <v>30.000000000000004</v>
      </c>
      <c r="O450" s="74">
        <v>58.997599999999998</v>
      </c>
      <c r="P450" s="75" t="s">
        <v>484</v>
      </c>
      <c r="Q450" s="76">
        <f t="shared" si="20"/>
        <v>1769.9280000000001</v>
      </c>
      <c r="R450" s="76"/>
      <c r="S450" s="76">
        <f>5*O450</f>
        <v>294.988</v>
      </c>
      <c r="T450" s="76"/>
      <c r="U450" s="76">
        <f>5*O450</f>
        <v>294.988</v>
      </c>
      <c r="V450" s="76"/>
      <c r="W450" s="76">
        <f>5*O450</f>
        <v>294.988</v>
      </c>
      <c r="X450" s="76"/>
      <c r="Y450" s="76">
        <f>5*O450</f>
        <v>294.988</v>
      </c>
      <c r="Z450" s="76"/>
      <c r="AA450" s="76">
        <f>5*O450</f>
        <v>294.988</v>
      </c>
      <c r="AB450" s="76">
        <f>5*O450</f>
        <v>294.988</v>
      </c>
      <c r="AC450" s="76"/>
    </row>
    <row r="451" spans="1:29" s="77" customFormat="1" ht="20.25" customHeight="1" x14ac:dyDescent="0.3">
      <c r="A451" s="65" t="s">
        <v>377</v>
      </c>
      <c r="B451" s="66" t="s">
        <v>480</v>
      </c>
      <c r="C451" s="66" t="s">
        <v>69</v>
      </c>
      <c r="D451" s="83" t="s">
        <v>70</v>
      </c>
      <c r="E451" s="84" t="s">
        <v>69</v>
      </c>
      <c r="F451" s="85" t="s">
        <v>71</v>
      </c>
      <c r="G451" s="85">
        <v>21101</v>
      </c>
      <c r="H451" s="80" t="s">
        <v>500</v>
      </c>
      <c r="I451" s="67" t="s">
        <v>526</v>
      </c>
      <c r="J451" s="90" t="s">
        <v>527</v>
      </c>
      <c r="K451" s="72" t="s">
        <v>379</v>
      </c>
      <c r="L451" s="73" t="s">
        <v>379</v>
      </c>
      <c r="M451" s="72" t="s">
        <v>383</v>
      </c>
      <c r="N451" s="69">
        <f t="shared" si="22"/>
        <v>6</v>
      </c>
      <c r="O451" s="74">
        <v>174.99760000000001</v>
      </c>
      <c r="P451" s="75" t="s">
        <v>484</v>
      </c>
      <c r="Q451" s="76">
        <f t="shared" si="20"/>
        <v>1049.9856</v>
      </c>
      <c r="R451" s="76"/>
      <c r="S451" s="76"/>
      <c r="T451" s="76"/>
      <c r="U451" s="76"/>
      <c r="V451" s="76"/>
      <c r="W451" s="76"/>
      <c r="X451" s="76"/>
      <c r="Y451" s="76"/>
      <c r="Z451" s="76">
        <f>2*O451</f>
        <v>349.99520000000001</v>
      </c>
      <c r="AA451" s="76">
        <f>2*O451</f>
        <v>349.99520000000001</v>
      </c>
      <c r="AB451" s="76">
        <f>2*O451</f>
        <v>349.99520000000001</v>
      </c>
      <c r="AC451" s="76"/>
    </row>
    <row r="452" spans="1:29" s="77" customFormat="1" ht="20.25" customHeight="1" x14ac:dyDescent="0.3">
      <c r="A452" s="65" t="s">
        <v>377</v>
      </c>
      <c r="B452" s="66" t="s">
        <v>480</v>
      </c>
      <c r="C452" s="66" t="s">
        <v>69</v>
      </c>
      <c r="D452" s="83" t="s">
        <v>74</v>
      </c>
      <c r="E452" s="84" t="s">
        <v>455</v>
      </c>
      <c r="F452" s="85" t="s">
        <v>87</v>
      </c>
      <c r="G452" s="85">
        <v>21101</v>
      </c>
      <c r="H452" s="80" t="s">
        <v>500</v>
      </c>
      <c r="I452" s="67" t="s">
        <v>264</v>
      </c>
      <c r="J452" s="90" t="s">
        <v>37</v>
      </c>
      <c r="K452" s="72" t="s">
        <v>379</v>
      </c>
      <c r="L452" s="73" t="s">
        <v>379</v>
      </c>
      <c r="M452" s="72" t="s">
        <v>383</v>
      </c>
      <c r="N452" s="69">
        <f t="shared" si="22"/>
        <v>12</v>
      </c>
      <c r="O452" s="74">
        <v>148</v>
      </c>
      <c r="P452" s="75" t="s">
        <v>484</v>
      </c>
      <c r="Q452" s="76">
        <f t="shared" si="20"/>
        <v>1776</v>
      </c>
      <c r="R452" s="76"/>
      <c r="S452" s="76">
        <f>2*O452</f>
        <v>296</v>
      </c>
      <c r="T452" s="76"/>
      <c r="U452" s="76">
        <f>2*O452</f>
        <v>296</v>
      </c>
      <c r="V452" s="76"/>
      <c r="W452" s="76">
        <f>2*O452</f>
        <v>296</v>
      </c>
      <c r="X452" s="76"/>
      <c r="Y452" s="76">
        <f>2*O452</f>
        <v>296</v>
      </c>
      <c r="Z452" s="76"/>
      <c r="AA452" s="76">
        <f>2*O452</f>
        <v>296</v>
      </c>
      <c r="AB452" s="76">
        <f>2*O452</f>
        <v>296</v>
      </c>
      <c r="AC452" s="76"/>
    </row>
    <row r="453" spans="1:29" s="77" customFormat="1" ht="20.25" customHeight="1" x14ac:dyDescent="0.3">
      <c r="A453" s="65" t="s">
        <v>377</v>
      </c>
      <c r="B453" s="66" t="s">
        <v>480</v>
      </c>
      <c r="C453" s="66" t="s">
        <v>69</v>
      </c>
      <c r="D453" s="83" t="s">
        <v>70</v>
      </c>
      <c r="E453" s="84" t="s">
        <v>69</v>
      </c>
      <c r="F453" s="85" t="s">
        <v>71</v>
      </c>
      <c r="G453" s="85">
        <v>21101</v>
      </c>
      <c r="H453" s="80" t="s">
        <v>500</v>
      </c>
      <c r="I453" s="67" t="s">
        <v>335</v>
      </c>
      <c r="J453" s="90" t="s">
        <v>510</v>
      </c>
      <c r="K453" s="72" t="s">
        <v>379</v>
      </c>
      <c r="L453" s="73" t="s">
        <v>379</v>
      </c>
      <c r="M453" s="72" t="s">
        <v>383</v>
      </c>
      <c r="N453" s="69">
        <f t="shared" si="22"/>
        <v>2</v>
      </c>
      <c r="O453" s="74">
        <v>53.99799999999999</v>
      </c>
      <c r="P453" s="75" t="s">
        <v>484</v>
      </c>
      <c r="Q453" s="76">
        <f t="shared" si="20"/>
        <v>107.99599999999998</v>
      </c>
      <c r="R453" s="76"/>
      <c r="S453" s="76"/>
      <c r="T453" s="76"/>
      <c r="U453" s="76"/>
      <c r="V453" s="76"/>
      <c r="W453" s="76"/>
      <c r="X453" s="76">
        <f>2*O453</f>
        <v>107.99599999999998</v>
      </c>
      <c r="Y453" s="76"/>
      <c r="Z453" s="76"/>
      <c r="AA453" s="76"/>
      <c r="AB453" s="76"/>
      <c r="AC453" s="76"/>
    </row>
    <row r="454" spans="1:29" s="77" customFormat="1" ht="20.25" customHeight="1" x14ac:dyDescent="0.3">
      <c r="A454" s="65" t="s">
        <v>377</v>
      </c>
      <c r="B454" s="66" t="s">
        <v>480</v>
      </c>
      <c r="C454" s="66" t="s">
        <v>69</v>
      </c>
      <c r="D454" s="83" t="s">
        <v>70</v>
      </c>
      <c r="E454" s="84" t="s">
        <v>69</v>
      </c>
      <c r="F454" s="85" t="s">
        <v>71</v>
      </c>
      <c r="G454" s="85">
        <v>21101</v>
      </c>
      <c r="H454" s="80" t="s">
        <v>500</v>
      </c>
      <c r="I454" s="67" t="s">
        <v>251</v>
      </c>
      <c r="J454" s="90" t="s">
        <v>511</v>
      </c>
      <c r="K454" s="72" t="s">
        <v>379</v>
      </c>
      <c r="L454" s="73" t="s">
        <v>379</v>
      </c>
      <c r="M454" s="72" t="s">
        <v>55</v>
      </c>
      <c r="N454" s="69">
        <f t="shared" si="22"/>
        <v>25</v>
      </c>
      <c r="O454" s="74">
        <v>109.00519999999999</v>
      </c>
      <c r="P454" s="75" t="s">
        <v>484</v>
      </c>
      <c r="Q454" s="76">
        <f t="shared" si="20"/>
        <v>2725.1299999999997</v>
      </c>
      <c r="R454" s="76"/>
      <c r="S454" s="76">
        <f>5*O454</f>
        <v>545.02599999999995</v>
      </c>
      <c r="T454" s="76">
        <f>5*O454</f>
        <v>545.02599999999995</v>
      </c>
      <c r="U454" s="76">
        <f>5*O454</f>
        <v>545.02599999999995</v>
      </c>
      <c r="V454" s="76"/>
      <c r="W454" s="76">
        <f>5*O454</f>
        <v>545.02599999999995</v>
      </c>
      <c r="X454" s="76"/>
      <c r="Y454" s="76"/>
      <c r="Z454" s="76"/>
      <c r="AA454" s="76"/>
      <c r="AB454" s="76"/>
      <c r="AC454" s="76">
        <f>5*O454</f>
        <v>545.02599999999995</v>
      </c>
    </row>
    <row r="455" spans="1:29" s="77" customFormat="1" ht="20.25" customHeight="1" x14ac:dyDescent="0.3">
      <c r="A455" s="65" t="s">
        <v>377</v>
      </c>
      <c r="B455" s="66" t="s">
        <v>480</v>
      </c>
      <c r="C455" s="66" t="s">
        <v>69</v>
      </c>
      <c r="D455" s="83" t="s">
        <v>70</v>
      </c>
      <c r="E455" s="84" t="s">
        <v>69</v>
      </c>
      <c r="F455" s="85" t="s">
        <v>71</v>
      </c>
      <c r="G455" s="85">
        <v>21101</v>
      </c>
      <c r="H455" s="80" t="s">
        <v>500</v>
      </c>
      <c r="I455" s="67" t="s">
        <v>255</v>
      </c>
      <c r="J455" s="90" t="s">
        <v>512</v>
      </c>
      <c r="K455" s="72" t="s">
        <v>379</v>
      </c>
      <c r="L455" s="73" t="s">
        <v>379</v>
      </c>
      <c r="M455" s="72" t="s">
        <v>55</v>
      </c>
      <c r="N455" s="69">
        <f t="shared" si="22"/>
        <v>19</v>
      </c>
      <c r="O455" s="74">
        <v>115.00239999999999</v>
      </c>
      <c r="P455" s="75" t="s">
        <v>484</v>
      </c>
      <c r="Q455" s="76">
        <f t="shared" si="20"/>
        <v>2185.0455999999999</v>
      </c>
      <c r="R455" s="76"/>
      <c r="S455" s="76">
        <f>5*O455</f>
        <v>575.01199999999994</v>
      </c>
      <c r="T455" s="76">
        <f>5*O455</f>
        <v>575.01199999999994</v>
      </c>
      <c r="U455" s="76"/>
      <c r="V455" s="76"/>
      <c r="W455" s="76">
        <f>5*O455</f>
        <v>575.01199999999994</v>
      </c>
      <c r="X455" s="76"/>
      <c r="Y455" s="76"/>
      <c r="Z455" s="76">
        <f>1*O455</f>
        <v>115.00239999999999</v>
      </c>
      <c r="AA455" s="76">
        <f>1*O455</f>
        <v>115.00239999999999</v>
      </c>
      <c r="AB455" s="76">
        <f>1*O455</f>
        <v>115.00239999999999</v>
      </c>
      <c r="AC455" s="76">
        <f>1*O455</f>
        <v>115.00239999999999</v>
      </c>
    </row>
    <row r="456" spans="1:29" s="77" customFormat="1" ht="20.25" customHeight="1" x14ac:dyDescent="0.3">
      <c r="A456" s="65" t="s">
        <v>377</v>
      </c>
      <c r="B456" s="66" t="s">
        <v>480</v>
      </c>
      <c r="C456" s="66" t="s">
        <v>69</v>
      </c>
      <c r="D456" s="83" t="s">
        <v>74</v>
      </c>
      <c r="E456" s="84" t="s">
        <v>455</v>
      </c>
      <c r="F456" s="85" t="s">
        <v>87</v>
      </c>
      <c r="G456" s="85">
        <v>21101</v>
      </c>
      <c r="H456" s="80" t="s">
        <v>500</v>
      </c>
      <c r="I456" s="67" t="s">
        <v>293</v>
      </c>
      <c r="J456" s="71" t="s">
        <v>122</v>
      </c>
      <c r="K456" s="72" t="s">
        <v>379</v>
      </c>
      <c r="L456" s="73" t="s">
        <v>379</v>
      </c>
      <c r="M456" s="72" t="s">
        <v>55</v>
      </c>
      <c r="N456" s="69">
        <f t="shared" si="22"/>
        <v>31</v>
      </c>
      <c r="O456" s="74">
        <v>49</v>
      </c>
      <c r="P456" s="75" t="s">
        <v>484</v>
      </c>
      <c r="Q456" s="76">
        <f t="shared" si="20"/>
        <v>1519</v>
      </c>
      <c r="R456" s="76"/>
      <c r="S456" s="76">
        <f>5*O456</f>
        <v>245</v>
      </c>
      <c r="T456" s="76"/>
      <c r="U456" s="76">
        <f>5*O456</f>
        <v>245</v>
      </c>
      <c r="V456" s="76"/>
      <c r="W456" s="76">
        <f>6*O456</f>
        <v>294</v>
      </c>
      <c r="X456" s="76"/>
      <c r="Y456" s="76">
        <f>5*O456</f>
        <v>245</v>
      </c>
      <c r="Z456" s="76"/>
      <c r="AA456" s="76">
        <f>5*O456</f>
        <v>245</v>
      </c>
      <c r="AB456" s="76">
        <f>5*O456</f>
        <v>245</v>
      </c>
      <c r="AC456" s="76"/>
    </row>
    <row r="457" spans="1:29" s="77" customFormat="1" ht="20.25" customHeight="1" x14ac:dyDescent="0.3">
      <c r="A457" s="65" t="s">
        <v>377</v>
      </c>
      <c r="B457" s="66" t="s">
        <v>480</v>
      </c>
      <c r="C457" s="66" t="s">
        <v>69</v>
      </c>
      <c r="D457" s="83" t="s">
        <v>74</v>
      </c>
      <c r="E457" s="84" t="s">
        <v>455</v>
      </c>
      <c r="F457" s="85" t="s">
        <v>87</v>
      </c>
      <c r="G457" s="85">
        <v>21101</v>
      </c>
      <c r="H457" s="80" t="s">
        <v>500</v>
      </c>
      <c r="I457" s="67" t="s">
        <v>518</v>
      </c>
      <c r="J457" s="71" t="s">
        <v>519</v>
      </c>
      <c r="K457" s="72" t="s">
        <v>379</v>
      </c>
      <c r="L457" s="73" t="s">
        <v>379</v>
      </c>
      <c r="M457" s="72" t="s">
        <v>383</v>
      </c>
      <c r="N457" s="69">
        <f t="shared" si="22"/>
        <v>6</v>
      </c>
      <c r="O457" s="74">
        <v>78.995999999999981</v>
      </c>
      <c r="P457" s="75" t="s">
        <v>484</v>
      </c>
      <c r="Q457" s="76">
        <f t="shared" si="20"/>
        <v>473.97599999999989</v>
      </c>
      <c r="R457" s="76"/>
      <c r="S457" s="76">
        <f>1*O457</f>
        <v>78.995999999999981</v>
      </c>
      <c r="T457" s="76"/>
      <c r="U457" s="76">
        <f>1*O457</f>
        <v>78.995999999999981</v>
      </c>
      <c r="V457" s="76"/>
      <c r="W457" s="76">
        <f>1*O457</f>
        <v>78.995999999999981</v>
      </c>
      <c r="X457" s="76"/>
      <c r="Y457" s="76">
        <f>1*O457</f>
        <v>78.995999999999981</v>
      </c>
      <c r="Z457" s="76"/>
      <c r="AA457" s="76">
        <f>1*O457</f>
        <v>78.995999999999981</v>
      </c>
      <c r="AB457" s="76">
        <f>1*O457</f>
        <v>78.995999999999981</v>
      </c>
      <c r="AC457" s="76"/>
    </row>
    <row r="458" spans="1:29" s="77" customFormat="1" ht="20.25" customHeight="1" x14ac:dyDescent="0.3">
      <c r="A458" s="65" t="s">
        <v>377</v>
      </c>
      <c r="B458" s="66" t="s">
        <v>480</v>
      </c>
      <c r="C458" s="66" t="s">
        <v>69</v>
      </c>
      <c r="D458" s="83" t="s">
        <v>70</v>
      </c>
      <c r="E458" s="84" t="s">
        <v>69</v>
      </c>
      <c r="F458" s="85" t="s">
        <v>71</v>
      </c>
      <c r="G458" s="85">
        <v>21101</v>
      </c>
      <c r="H458" s="80" t="s">
        <v>500</v>
      </c>
      <c r="I458" s="67" t="s">
        <v>516</v>
      </c>
      <c r="J458" s="90" t="s">
        <v>517</v>
      </c>
      <c r="K458" s="72" t="s">
        <v>379</v>
      </c>
      <c r="L458" s="73" t="s">
        <v>379</v>
      </c>
      <c r="M458" s="72" t="s">
        <v>383</v>
      </c>
      <c r="N458" s="69">
        <f t="shared" si="22"/>
        <v>2</v>
      </c>
      <c r="O458" s="74">
        <v>19.000799999999998</v>
      </c>
      <c r="P458" s="75" t="s">
        <v>484</v>
      </c>
      <c r="Q458" s="76">
        <f t="shared" si="20"/>
        <v>38.001599999999996</v>
      </c>
      <c r="R458" s="76"/>
      <c r="S458" s="76"/>
      <c r="T458" s="76"/>
      <c r="U458" s="76"/>
      <c r="V458" s="76"/>
      <c r="W458" s="76"/>
      <c r="X458" s="76"/>
      <c r="Y458" s="76">
        <f>2*O458</f>
        <v>38.001599999999996</v>
      </c>
      <c r="Z458" s="76"/>
      <c r="AA458" s="76"/>
      <c r="AB458" s="76"/>
      <c r="AC458" s="76"/>
    </row>
    <row r="459" spans="1:29" s="77" customFormat="1" ht="20.25" customHeight="1" x14ac:dyDescent="0.3">
      <c r="A459" s="65" t="s">
        <v>377</v>
      </c>
      <c r="B459" s="66" t="s">
        <v>480</v>
      </c>
      <c r="C459" s="66" t="s">
        <v>69</v>
      </c>
      <c r="D459" s="83" t="s">
        <v>70</v>
      </c>
      <c r="E459" s="84" t="s">
        <v>69</v>
      </c>
      <c r="F459" s="85" t="s">
        <v>71</v>
      </c>
      <c r="G459" s="85">
        <v>21101</v>
      </c>
      <c r="H459" s="80" t="s">
        <v>500</v>
      </c>
      <c r="I459" s="67" t="s">
        <v>573</v>
      </c>
      <c r="J459" s="90" t="s">
        <v>574</v>
      </c>
      <c r="K459" s="72" t="s">
        <v>379</v>
      </c>
      <c r="L459" s="73" t="s">
        <v>379</v>
      </c>
      <c r="M459" s="72" t="s">
        <v>383</v>
      </c>
      <c r="N459" s="69">
        <f t="shared" si="22"/>
        <v>5</v>
      </c>
      <c r="O459" s="74">
        <v>64.994799999999998</v>
      </c>
      <c r="P459" s="75" t="s">
        <v>484</v>
      </c>
      <c r="Q459" s="76">
        <f t="shared" si="20"/>
        <v>324.97399999999999</v>
      </c>
      <c r="R459" s="76"/>
      <c r="S459" s="76"/>
      <c r="T459" s="76"/>
      <c r="U459" s="76"/>
      <c r="V459" s="76"/>
      <c r="W459" s="76"/>
      <c r="X459" s="76">
        <f>5*O459</f>
        <v>324.97399999999999</v>
      </c>
      <c r="Y459" s="76"/>
      <c r="Z459" s="76"/>
      <c r="AA459" s="76"/>
      <c r="AB459" s="76"/>
      <c r="AC459" s="76"/>
    </row>
    <row r="460" spans="1:29" s="77" customFormat="1" ht="20.25" customHeight="1" x14ac:dyDescent="0.3">
      <c r="A460" s="65" t="s">
        <v>377</v>
      </c>
      <c r="B460" s="66" t="s">
        <v>480</v>
      </c>
      <c r="C460" s="66" t="s">
        <v>69</v>
      </c>
      <c r="D460" s="83" t="s">
        <v>74</v>
      </c>
      <c r="E460" s="84" t="s">
        <v>455</v>
      </c>
      <c r="F460" s="85" t="s">
        <v>87</v>
      </c>
      <c r="G460" s="85">
        <v>21101</v>
      </c>
      <c r="H460" s="80" t="s">
        <v>500</v>
      </c>
      <c r="I460" s="67" t="s">
        <v>575</v>
      </c>
      <c r="J460" s="71" t="s">
        <v>576</v>
      </c>
      <c r="K460" s="72" t="s">
        <v>379</v>
      </c>
      <c r="L460" s="73" t="s">
        <v>379</v>
      </c>
      <c r="M460" s="72" t="s">
        <v>383</v>
      </c>
      <c r="N460" s="69">
        <f t="shared" si="22"/>
        <v>33</v>
      </c>
      <c r="O460" s="74">
        <v>75</v>
      </c>
      <c r="P460" s="75" t="s">
        <v>484</v>
      </c>
      <c r="Q460" s="76">
        <f t="shared" si="20"/>
        <v>2475</v>
      </c>
      <c r="R460" s="76"/>
      <c r="S460" s="76">
        <f>5*O460</f>
        <v>375</v>
      </c>
      <c r="T460" s="76"/>
      <c r="U460" s="76">
        <f>5*O460</f>
        <v>375</v>
      </c>
      <c r="V460" s="76"/>
      <c r="W460" s="76">
        <f>8*O460</f>
        <v>600</v>
      </c>
      <c r="X460" s="76"/>
      <c r="Y460" s="76">
        <f>5*O460</f>
        <v>375</v>
      </c>
      <c r="Z460" s="76"/>
      <c r="AA460" s="76">
        <f>5*O460</f>
        <v>375</v>
      </c>
      <c r="AB460" s="76">
        <f>5*O460</f>
        <v>375</v>
      </c>
      <c r="AC460" s="76"/>
    </row>
    <row r="461" spans="1:29" s="77" customFormat="1" ht="20.25" customHeight="1" x14ac:dyDescent="0.3">
      <c r="A461" s="65" t="s">
        <v>377</v>
      </c>
      <c r="B461" s="66" t="s">
        <v>480</v>
      </c>
      <c r="C461" s="66" t="s">
        <v>69</v>
      </c>
      <c r="D461" s="83" t="s">
        <v>70</v>
      </c>
      <c r="E461" s="84" t="s">
        <v>69</v>
      </c>
      <c r="F461" s="85" t="s">
        <v>71</v>
      </c>
      <c r="G461" s="85">
        <v>21101</v>
      </c>
      <c r="H461" s="80" t="s">
        <v>500</v>
      </c>
      <c r="I461" s="67" t="s">
        <v>514</v>
      </c>
      <c r="J461" s="71" t="s">
        <v>577</v>
      </c>
      <c r="K461" s="72" t="s">
        <v>379</v>
      </c>
      <c r="L461" s="73" t="s">
        <v>379</v>
      </c>
      <c r="M461" s="72" t="s">
        <v>55</v>
      </c>
      <c r="N461" s="69">
        <f t="shared" si="22"/>
        <v>6</v>
      </c>
      <c r="O461" s="74">
        <v>11.994399999999999</v>
      </c>
      <c r="P461" s="75" t="s">
        <v>484</v>
      </c>
      <c r="Q461" s="76">
        <f t="shared" si="20"/>
        <v>71.966399999999993</v>
      </c>
      <c r="R461" s="76"/>
      <c r="S461" s="76"/>
      <c r="T461" s="76"/>
      <c r="U461" s="76"/>
      <c r="V461" s="76"/>
      <c r="W461" s="76"/>
      <c r="X461" s="76"/>
      <c r="Y461" s="76"/>
      <c r="Z461" s="76">
        <f>1*O461</f>
        <v>11.994399999999999</v>
      </c>
      <c r="AA461" s="76">
        <f>1*O461</f>
        <v>11.994399999999999</v>
      </c>
      <c r="AB461" s="76">
        <f>1*O461</f>
        <v>11.994399999999999</v>
      </c>
      <c r="AC461" s="76">
        <f>3*O461</f>
        <v>35.983199999999997</v>
      </c>
    </row>
    <row r="462" spans="1:29" s="77" customFormat="1" ht="20.25" customHeight="1" x14ac:dyDescent="0.3">
      <c r="A462" s="65" t="s">
        <v>377</v>
      </c>
      <c r="B462" s="66" t="s">
        <v>480</v>
      </c>
      <c r="C462" s="66" t="s">
        <v>69</v>
      </c>
      <c r="D462" s="83" t="s">
        <v>70</v>
      </c>
      <c r="E462" s="84" t="s">
        <v>69</v>
      </c>
      <c r="F462" s="85" t="s">
        <v>71</v>
      </c>
      <c r="G462" s="85">
        <v>21101</v>
      </c>
      <c r="H462" s="80" t="s">
        <v>500</v>
      </c>
      <c r="I462" s="67" t="s">
        <v>459</v>
      </c>
      <c r="J462" s="71" t="s">
        <v>460</v>
      </c>
      <c r="K462" s="72" t="s">
        <v>379</v>
      </c>
      <c r="L462" s="73" t="s">
        <v>379</v>
      </c>
      <c r="M462" s="72" t="s">
        <v>56</v>
      </c>
      <c r="N462" s="69">
        <f t="shared" si="22"/>
        <v>20</v>
      </c>
      <c r="O462" s="74">
        <v>29.997599999999998</v>
      </c>
      <c r="P462" s="75" t="s">
        <v>484</v>
      </c>
      <c r="Q462" s="76">
        <f t="shared" ref="Q462:Q500" si="23">SUM(R462:AC462)</f>
        <v>599.952</v>
      </c>
      <c r="R462" s="76"/>
      <c r="S462" s="76"/>
      <c r="T462" s="76"/>
      <c r="U462" s="76"/>
      <c r="V462" s="76"/>
      <c r="W462" s="76"/>
      <c r="X462" s="76">
        <f>5*O462</f>
        <v>149.988</v>
      </c>
      <c r="Y462" s="76"/>
      <c r="Z462" s="76">
        <f>5*O462</f>
        <v>149.988</v>
      </c>
      <c r="AA462" s="76">
        <f>5*O462</f>
        <v>149.988</v>
      </c>
      <c r="AB462" s="76">
        <f>5*O462</f>
        <v>149.988</v>
      </c>
      <c r="AC462" s="76"/>
    </row>
    <row r="463" spans="1:29" s="77" customFormat="1" ht="20.25" customHeight="1" x14ac:dyDescent="0.3">
      <c r="A463" s="65" t="s">
        <v>377</v>
      </c>
      <c r="B463" s="66" t="s">
        <v>480</v>
      </c>
      <c r="C463" s="66" t="s">
        <v>69</v>
      </c>
      <c r="D463" s="83" t="s">
        <v>74</v>
      </c>
      <c r="E463" s="84" t="s">
        <v>455</v>
      </c>
      <c r="F463" s="85" t="s">
        <v>87</v>
      </c>
      <c r="G463" s="85">
        <v>21401</v>
      </c>
      <c r="H463" s="70" t="s">
        <v>533</v>
      </c>
      <c r="I463" s="67" t="s">
        <v>578</v>
      </c>
      <c r="J463" s="71" t="s">
        <v>579</v>
      </c>
      <c r="K463" s="72" t="s">
        <v>379</v>
      </c>
      <c r="L463" s="73" t="s">
        <v>379</v>
      </c>
      <c r="M463" s="72" t="s">
        <v>383</v>
      </c>
      <c r="N463" s="69">
        <f t="shared" si="22"/>
        <v>2</v>
      </c>
      <c r="O463" s="74">
        <v>231.99999999999997</v>
      </c>
      <c r="P463" s="75" t="s">
        <v>536</v>
      </c>
      <c r="Q463" s="76">
        <f t="shared" si="23"/>
        <v>463.99999999999994</v>
      </c>
      <c r="R463" s="76"/>
      <c r="S463" s="76"/>
      <c r="T463" s="76"/>
      <c r="U463" s="76"/>
      <c r="V463" s="76"/>
      <c r="W463" s="76">
        <f>2*O463</f>
        <v>463.99999999999994</v>
      </c>
      <c r="X463" s="76"/>
      <c r="Y463" s="76"/>
      <c r="Z463" s="76"/>
      <c r="AA463" s="76"/>
      <c r="AB463" s="76"/>
      <c r="AC463" s="76"/>
    </row>
    <row r="464" spans="1:29" s="77" customFormat="1" ht="20.25" customHeight="1" x14ac:dyDescent="0.3">
      <c r="A464" s="65" t="s">
        <v>377</v>
      </c>
      <c r="B464" s="66" t="s">
        <v>480</v>
      </c>
      <c r="C464" s="66" t="s">
        <v>69</v>
      </c>
      <c r="D464" s="83" t="s">
        <v>74</v>
      </c>
      <c r="E464" s="84" t="s">
        <v>572</v>
      </c>
      <c r="F464" s="85" t="s">
        <v>87</v>
      </c>
      <c r="G464" s="85">
        <v>21401</v>
      </c>
      <c r="H464" s="70" t="s">
        <v>533</v>
      </c>
      <c r="I464" s="67" t="s">
        <v>580</v>
      </c>
      <c r="J464" s="71" t="s">
        <v>581</v>
      </c>
      <c r="K464" s="72" t="s">
        <v>379</v>
      </c>
      <c r="L464" s="73" t="s">
        <v>379</v>
      </c>
      <c r="M464" s="72" t="s">
        <v>383</v>
      </c>
      <c r="N464" s="69">
        <f t="shared" si="22"/>
        <v>2</v>
      </c>
      <c r="O464" s="74">
        <v>7318.5</v>
      </c>
      <c r="P464" s="75" t="s">
        <v>536</v>
      </c>
      <c r="Q464" s="76">
        <f t="shared" si="23"/>
        <v>14637</v>
      </c>
      <c r="R464" s="76"/>
      <c r="S464" s="76"/>
      <c r="T464" s="76">
        <f>1*O464</f>
        <v>7318.5</v>
      </c>
      <c r="U464" s="76"/>
      <c r="V464" s="76"/>
      <c r="W464" s="76"/>
      <c r="X464" s="76"/>
      <c r="Y464" s="76"/>
      <c r="Z464" s="76"/>
      <c r="AA464" s="76">
        <f>1*O464</f>
        <v>7318.5</v>
      </c>
      <c r="AB464" s="76"/>
      <c r="AC464" s="76"/>
    </row>
    <row r="465" spans="1:29" s="77" customFormat="1" ht="20.25" customHeight="1" x14ac:dyDescent="0.3">
      <c r="A465" s="65" t="s">
        <v>377</v>
      </c>
      <c r="B465" s="66" t="s">
        <v>480</v>
      </c>
      <c r="C465" s="66" t="s">
        <v>69</v>
      </c>
      <c r="D465" s="83" t="s">
        <v>70</v>
      </c>
      <c r="E465" s="84" t="s">
        <v>69</v>
      </c>
      <c r="F465" s="85" t="s">
        <v>71</v>
      </c>
      <c r="G465" s="85">
        <v>21401</v>
      </c>
      <c r="H465" s="70" t="s">
        <v>533</v>
      </c>
      <c r="I465" s="67" t="s">
        <v>582</v>
      </c>
      <c r="J465" s="71" t="s">
        <v>583</v>
      </c>
      <c r="K465" s="72" t="s">
        <v>379</v>
      </c>
      <c r="L465" s="73" t="s">
        <v>379</v>
      </c>
      <c r="M465" s="72" t="s">
        <v>584</v>
      </c>
      <c r="N465" s="69">
        <f t="shared" si="22"/>
        <v>2</v>
      </c>
      <c r="O465" s="74">
        <v>241.27999999999997</v>
      </c>
      <c r="P465" s="75" t="s">
        <v>536</v>
      </c>
      <c r="Q465" s="76">
        <f t="shared" si="23"/>
        <v>482.55999999999995</v>
      </c>
      <c r="R465" s="76"/>
      <c r="S465" s="76"/>
      <c r="T465" s="76"/>
      <c r="U465" s="76">
        <f>2*O465</f>
        <v>482.55999999999995</v>
      </c>
      <c r="V465" s="76"/>
      <c r="W465" s="76"/>
      <c r="X465" s="76"/>
      <c r="Y465" s="76"/>
      <c r="Z465" s="76"/>
      <c r="AA465" s="76"/>
      <c r="AB465" s="76"/>
      <c r="AC465" s="76"/>
    </row>
    <row r="466" spans="1:29" s="77" customFormat="1" ht="20.25" customHeight="1" x14ac:dyDescent="0.3">
      <c r="A466" s="65" t="s">
        <v>377</v>
      </c>
      <c r="B466" s="66" t="s">
        <v>480</v>
      </c>
      <c r="C466" s="66" t="s">
        <v>69</v>
      </c>
      <c r="D466" s="83" t="s">
        <v>74</v>
      </c>
      <c r="E466" s="84" t="s">
        <v>455</v>
      </c>
      <c r="F466" s="85" t="s">
        <v>87</v>
      </c>
      <c r="G466" s="69">
        <v>21601</v>
      </c>
      <c r="H466" s="70" t="s">
        <v>481</v>
      </c>
      <c r="I466" s="67" t="s">
        <v>538</v>
      </c>
      <c r="J466" s="71" t="s">
        <v>539</v>
      </c>
      <c r="K466" s="72" t="s">
        <v>379</v>
      </c>
      <c r="L466" s="73" t="s">
        <v>379</v>
      </c>
      <c r="M466" s="72" t="s">
        <v>55</v>
      </c>
      <c r="N466" s="69">
        <f t="shared" si="22"/>
        <v>30</v>
      </c>
      <c r="O466" s="74">
        <v>359.05479999999994</v>
      </c>
      <c r="P466" s="75" t="s">
        <v>484</v>
      </c>
      <c r="Q466" s="76">
        <f t="shared" si="23"/>
        <v>10771.643999999998</v>
      </c>
      <c r="R466" s="76"/>
      <c r="S466" s="76">
        <f>3*O466</f>
        <v>1077.1643999999999</v>
      </c>
      <c r="T466" s="76">
        <f>3*O466</f>
        <v>1077.1643999999999</v>
      </c>
      <c r="U466" s="76">
        <f>3*O466</f>
        <v>1077.1643999999999</v>
      </c>
      <c r="V466" s="76">
        <f>3*O466</f>
        <v>1077.1643999999999</v>
      </c>
      <c r="W466" s="76">
        <f>3*O466</f>
        <v>1077.1643999999999</v>
      </c>
      <c r="X466" s="76">
        <f>3*O466</f>
        <v>1077.1643999999999</v>
      </c>
      <c r="Y466" s="76">
        <f>3*O466</f>
        <v>1077.1643999999999</v>
      </c>
      <c r="Z466" s="76">
        <f>3*O466</f>
        <v>1077.1643999999999</v>
      </c>
      <c r="AA466" s="76">
        <f>3*O466</f>
        <v>1077.1643999999999</v>
      </c>
      <c r="AB466" s="76">
        <f>3*O466</f>
        <v>1077.1643999999999</v>
      </c>
      <c r="AC466" s="76"/>
    </row>
    <row r="467" spans="1:29" s="77" customFormat="1" ht="20.25" customHeight="1" x14ac:dyDescent="0.3">
      <c r="A467" s="65" t="s">
        <v>377</v>
      </c>
      <c r="B467" s="66" t="s">
        <v>480</v>
      </c>
      <c r="C467" s="66" t="s">
        <v>69</v>
      </c>
      <c r="D467" s="83" t="s">
        <v>74</v>
      </c>
      <c r="E467" s="84" t="s">
        <v>455</v>
      </c>
      <c r="F467" s="85" t="s">
        <v>87</v>
      </c>
      <c r="G467" s="69">
        <v>21601</v>
      </c>
      <c r="H467" s="70" t="s">
        <v>481</v>
      </c>
      <c r="I467" s="67" t="s">
        <v>585</v>
      </c>
      <c r="J467" s="71" t="s">
        <v>586</v>
      </c>
      <c r="K467" s="72" t="s">
        <v>379</v>
      </c>
      <c r="L467" s="73" t="s">
        <v>379</v>
      </c>
      <c r="M467" s="72" t="s">
        <v>383</v>
      </c>
      <c r="N467" s="69">
        <f t="shared" si="22"/>
        <v>11.000000000000002</v>
      </c>
      <c r="O467" s="74">
        <v>185.82039999999998</v>
      </c>
      <c r="P467" s="75" t="s">
        <v>484</v>
      </c>
      <c r="Q467" s="76">
        <f t="shared" si="23"/>
        <v>2044.0244000000002</v>
      </c>
      <c r="R467" s="76"/>
      <c r="S467" s="76">
        <f>1*O467</f>
        <v>185.82039999999998</v>
      </c>
      <c r="T467" s="76">
        <f>1*O467</f>
        <v>185.82039999999998</v>
      </c>
      <c r="U467" s="76">
        <f>1*O467</f>
        <v>185.82039999999998</v>
      </c>
      <c r="V467" s="76">
        <f>1*O467</f>
        <v>185.82039999999998</v>
      </c>
      <c r="W467" s="76">
        <f>2*O467</f>
        <v>371.64079999999996</v>
      </c>
      <c r="X467" s="76">
        <f>1*O467</f>
        <v>185.82039999999998</v>
      </c>
      <c r="Y467" s="76">
        <f>1*O467</f>
        <v>185.82039999999998</v>
      </c>
      <c r="Z467" s="76">
        <f>1*O467</f>
        <v>185.82039999999998</v>
      </c>
      <c r="AA467" s="76">
        <f>1*O467</f>
        <v>185.82039999999998</v>
      </c>
      <c r="AB467" s="76">
        <f>1*O467</f>
        <v>185.82039999999998</v>
      </c>
      <c r="AC467" s="76"/>
    </row>
    <row r="468" spans="1:29" s="77" customFormat="1" ht="20.25" customHeight="1" x14ac:dyDescent="0.3">
      <c r="A468" s="65" t="s">
        <v>377</v>
      </c>
      <c r="B468" s="66" t="s">
        <v>480</v>
      </c>
      <c r="C468" s="66" t="s">
        <v>69</v>
      </c>
      <c r="D468" s="83" t="s">
        <v>74</v>
      </c>
      <c r="E468" s="84" t="s">
        <v>455</v>
      </c>
      <c r="F468" s="85" t="s">
        <v>87</v>
      </c>
      <c r="G468" s="69">
        <v>21601</v>
      </c>
      <c r="H468" s="70" t="s">
        <v>481</v>
      </c>
      <c r="I468" s="67" t="s">
        <v>337</v>
      </c>
      <c r="J468" s="71" t="s">
        <v>542</v>
      </c>
      <c r="K468" s="72" t="s">
        <v>379</v>
      </c>
      <c r="L468" s="73" t="s">
        <v>379</v>
      </c>
      <c r="M468" s="72" t="s">
        <v>55</v>
      </c>
      <c r="N468" s="69">
        <f t="shared" si="22"/>
        <v>10</v>
      </c>
      <c r="O468" s="74">
        <v>235</v>
      </c>
      <c r="P468" s="75" t="s">
        <v>484</v>
      </c>
      <c r="Q468" s="76">
        <f t="shared" si="23"/>
        <v>2350</v>
      </c>
      <c r="R468" s="76"/>
      <c r="S468" s="76">
        <f>1*O468</f>
        <v>235</v>
      </c>
      <c r="T468" s="76">
        <f>1*O468</f>
        <v>235</v>
      </c>
      <c r="U468" s="76">
        <f>1*O468</f>
        <v>235</v>
      </c>
      <c r="V468" s="76">
        <f>1*O468</f>
        <v>235</v>
      </c>
      <c r="W468" s="76">
        <f>1*O468</f>
        <v>235</v>
      </c>
      <c r="X468" s="76">
        <f>1*O468</f>
        <v>235</v>
      </c>
      <c r="Y468" s="76">
        <f>1*O468</f>
        <v>235</v>
      </c>
      <c r="Z468" s="76">
        <f>1*O468</f>
        <v>235</v>
      </c>
      <c r="AA468" s="76">
        <f>1*O468</f>
        <v>235</v>
      </c>
      <c r="AB468" s="76">
        <f>1*O468</f>
        <v>235</v>
      </c>
      <c r="AC468" s="76"/>
    </row>
    <row r="469" spans="1:29" s="77" customFormat="1" ht="20.25" customHeight="1" x14ac:dyDescent="0.3">
      <c r="A469" s="65" t="s">
        <v>377</v>
      </c>
      <c r="B469" s="66" t="s">
        <v>480</v>
      </c>
      <c r="C469" s="66" t="s">
        <v>69</v>
      </c>
      <c r="D469" s="83" t="s">
        <v>74</v>
      </c>
      <c r="E469" s="84" t="s">
        <v>455</v>
      </c>
      <c r="F469" s="69" t="s">
        <v>87</v>
      </c>
      <c r="G469" s="69">
        <v>24601</v>
      </c>
      <c r="H469" s="92" t="s">
        <v>587</v>
      </c>
      <c r="I469" s="67" t="s">
        <v>415</v>
      </c>
      <c r="J469" s="71" t="s">
        <v>588</v>
      </c>
      <c r="K469" s="72" t="s">
        <v>379</v>
      </c>
      <c r="L469" s="73" t="s">
        <v>379</v>
      </c>
      <c r="M469" s="72" t="s">
        <v>383</v>
      </c>
      <c r="N469" s="69">
        <f t="shared" si="22"/>
        <v>2</v>
      </c>
      <c r="O469" s="74">
        <v>71.502399999999994</v>
      </c>
      <c r="P469" s="75" t="s">
        <v>536</v>
      </c>
      <c r="Q469" s="76">
        <f t="shared" si="23"/>
        <v>143.00479999999999</v>
      </c>
      <c r="R469" s="76"/>
      <c r="S469" s="76"/>
      <c r="T469" s="76"/>
      <c r="U469" s="76"/>
      <c r="V469" s="76"/>
      <c r="W469" s="76">
        <f>2*O469</f>
        <v>143.00479999999999</v>
      </c>
      <c r="X469" s="76"/>
      <c r="Y469" s="76"/>
      <c r="Z469" s="76"/>
      <c r="AA469" s="76"/>
      <c r="AB469" s="76"/>
      <c r="AC469" s="76"/>
    </row>
    <row r="470" spans="1:29" s="77" customFormat="1" ht="20.25" customHeight="1" x14ac:dyDescent="0.3">
      <c r="A470" s="65" t="s">
        <v>377</v>
      </c>
      <c r="B470" s="66" t="s">
        <v>480</v>
      </c>
      <c r="C470" s="66" t="s">
        <v>69</v>
      </c>
      <c r="D470" s="83" t="s">
        <v>74</v>
      </c>
      <c r="E470" s="84" t="s">
        <v>455</v>
      </c>
      <c r="F470" s="69" t="s">
        <v>87</v>
      </c>
      <c r="G470" s="69">
        <v>24601</v>
      </c>
      <c r="H470" s="92" t="s">
        <v>589</v>
      </c>
      <c r="I470" s="67" t="s">
        <v>590</v>
      </c>
      <c r="J470" s="71" t="s">
        <v>591</v>
      </c>
      <c r="K470" s="72" t="s">
        <v>379</v>
      </c>
      <c r="L470" s="73" t="s">
        <v>379</v>
      </c>
      <c r="M470" s="72" t="s">
        <v>383</v>
      </c>
      <c r="N470" s="69">
        <f t="shared" si="22"/>
        <v>2.9999999999999996</v>
      </c>
      <c r="O470" s="74">
        <v>758.99959999999987</v>
      </c>
      <c r="P470" s="75" t="s">
        <v>536</v>
      </c>
      <c r="Q470" s="76">
        <f t="shared" si="23"/>
        <v>2276.9987999999994</v>
      </c>
      <c r="R470" s="76"/>
      <c r="S470" s="76"/>
      <c r="T470" s="76"/>
      <c r="U470" s="76"/>
      <c r="V470" s="76"/>
      <c r="W470" s="76">
        <f>3*O470</f>
        <v>2276.9987999999994</v>
      </c>
      <c r="X470" s="76"/>
      <c r="Y470" s="76"/>
      <c r="Z470" s="76"/>
      <c r="AA470" s="76"/>
      <c r="AB470" s="76"/>
      <c r="AC470" s="76"/>
    </row>
    <row r="471" spans="1:29" s="77" customFormat="1" ht="20.25" customHeight="1" x14ac:dyDescent="0.3">
      <c r="A471" s="65" t="s">
        <v>377</v>
      </c>
      <c r="B471" s="66" t="s">
        <v>480</v>
      </c>
      <c r="C471" s="66" t="s">
        <v>69</v>
      </c>
      <c r="D471" s="83" t="s">
        <v>74</v>
      </c>
      <c r="E471" s="84" t="s">
        <v>455</v>
      </c>
      <c r="F471" s="69" t="s">
        <v>87</v>
      </c>
      <c r="G471" s="69">
        <v>24601</v>
      </c>
      <c r="H471" s="92" t="s">
        <v>589</v>
      </c>
      <c r="I471" s="67" t="s">
        <v>592</v>
      </c>
      <c r="J471" s="71" t="s">
        <v>593</v>
      </c>
      <c r="K471" s="72" t="s">
        <v>379</v>
      </c>
      <c r="L471" s="73" t="s">
        <v>379</v>
      </c>
      <c r="M471" s="72" t="s">
        <v>383</v>
      </c>
      <c r="N471" s="69">
        <f t="shared" si="22"/>
        <v>3</v>
      </c>
      <c r="O471" s="74">
        <v>139.00279999999998</v>
      </c>
      <c r="P471" s="75" t="s">
        <v>536</v>
      </c>
      <c r="Q471" s="76">
        <f t="shared" si="23"/>
        <v>417.00839999999994</v>
      </c>
      <c r="R471" s="76"/>
      <c r="S471" s="76"/>
      <c r="T471" s="76"/>
      <c r="U471" s="76"/>
      <c r="V471" s="76"/>
      <c r="W471" s="76">
        <f>3*O471</f>
        <v>417.00839999999994</v>
      </c>
      <c r="X471" s="76"/>
      <c r="Y471" s="76"/>
      <c r="Z471" s="76"/>
      <c r="AA471" s="76"/>
      <c r="AB471" s="76"/>
      <c r="AC471" s="76"/>
    </row>
    <row r="472" spans="1:29" s="77" customFormat="1" ht="20.25" customHeight="1" x14ac:dyDescent="0.3">
      <c r="A472" s="65" t="s">
        <v>377</v>
      </c>
      <c r="B472" s="66" t="s">
        <v>480</v>
      </c>
      <c r="C472" s="66" t="s">
        <v>69</v>
      </c>
      <c r="D472" s="83" t="s">
        <v>74</v>
      </c>
      <c r="E472" s="84" t="s">
        <v>455</v>
      </c>
      <c r="F472" s="69" t="s">
        <v>87</v>
      </c>
      <c r="G472" s="69">
        <v>24601</v>
      </c>
      <c r="H472" s="92" t="s">
        <v>589</v>
      </c>
      <c r="I472" s="67" t="s">
        <v>594</v>
      </c>
      <c r="J472" s="71" t="s">
        <v>595</v>
      </c>
      <c r="K472" s="72" t="s">
        <v>379</v>
      </c>
      <c r="L472" s="73" t="s">
        <v>379</v>
      </c>
      <c r="M472" s="72" t="s">
        <v>383</v>
      </c>
      <c r="N472" s="69">
        <f t="shared" si="22"/>
        <v>2</v>
      </c>
      <c r="O472" s="74">
        <v>139.00279999999998</v>
      </c>
      <c r="P472" s="75" t="s">
        <v>536</v>
      </c>
      <c r="Q472" s="76">
        <f t="shared" si="23"/>
        <v>278.00559999999996</v>
      </c>
      <c r="R472" s="76"/>
      <c r="S472" s="76"/>
      <c r="T472" s="76"/>
      <c r="U472" s="76"/>
      <c r="V472" s="76"/>
      <c r="W472" s="76">
        <f>2*O472</f>
        <v>278.00559999999996</v>
      </c>
      <c r="X472" s="76"/>
      <c r="Y472" s="76"/>
      <c r="Z472" s="76"/>
      <c r="AA472" s="76"/>
      <c r="AB472" s="76"/>
      <c r="AC472" s="76"/>
    </row>
    <row r="473" spans="1:29" s="77" customFormat="1" ht="20.25" customHeight="1" x14ac:dyDescent="0.3">
      <c r="A473" s="65" t="s">
        <v>377</v>
      </c>
      <c r="B473" s="66" t="s">
        <v>480</v>
      </c>
      <c r="C473" s="66" t="s">
        <v>69</v>
      </c>
      <c r="D473" s="83" t="s">
        <v>74</v>
      </c>
      <c r="E473" s="84" t="s">
        <v>455</v>
      </c>
      <c r="F473" s="69" t="s">
        <v>87</v>
      </c>
      <c r="G473" s="69">
        <v>24601</v>
      </c>
      <c r="H473" s="92" t="s">
        <v>589</v>
      </c>
      <c r="I473" s="67" t="s">
        <v>596</v>
      </c>
      <c r="J473" s="71" t="s">
        <v>597</v>
      </c>
      <c r="K473" s="72" t="s">
        <v>379</v>
      </c>
      <c r="L473" s="73" t="s">
        <v>379</v>
      </c>
      <c r="M473" s="72" t="s">
        <v>383</v>
      </c>
      <c r="N473" s="69">
        <f t="shared" si="22"/>
        <v>4</v>
      </c>
      <c r="O473" s="74">
        <v>22.005199999999999</v>
      </c>
      <c r="P473" s="75" t="s">
        <v>536</v>
      </c>
      <c r="Q473" s="76">
        <f t="shared" si="23"/>
        <v>88.020799999999994</v>
      </c>
      <c r="R473" s="76"/>
      <c r="S473" s="76"/>
      <c r="T473" s="76"/>
      <c r="U473" s="76"/>
      <c r="V473" s="76"/>
      <c r="W473" s="76">
        <f>4*O473</f>
        <v>88.020799999999994</v>
      </c>
      <c r="X473" s="76"/>
      <c r="Y473" s="76"/>
      <c r="Z473" s="76"/>
      <c r="AA473" s="76"/>
      <c r="AB473" s="76"/>
      <c r="AC473" s="76"/>
    </row>
    <row r="474" spans="1:29" s="77" customFormat="1" ht="20.25" customHeight="1" x14ac:dyDescent="0.3">
      <c r="A474" s="65" t="s">
        <v>377</v>
      </c>
      <c r="B474" s="66" t="s">
        <v>480</v>
      </c>
      <c r="C474" s="66" t="s">
        <v>69</v>
      </c>
      <c r="D474" s="83" t="s">
        <v>74</v>
      </c>
      <c r="E474" s="84" t="s">
        <v>455</v>
      </c>
      <c r="F474" s="69" t="s">
        <v>87</v>
      </c>
      <c r="G474" s="69">
        <v>24901</v>
      </c>
      <c r="H474" s="92" t="s">
        <v>598</v>
      </c>
      <c r="I474" s="67" t="s">
        <v>362</v>
      </c>
      <c r="J474" s="71" t="s">
        <v>599</v>
      </c>
      <c r="K474" s="72" t="s">
        <v>379</v>
      </c>
      <c r="L474" s="73" t="s">
        <v>379</v>
      </c>
      <c r="M474" s="72" t="s">
        <v>383</v>
      </c>
      <c r="N474" s="69">
        <f t="shared" si="22"/>
        <v>2</v>
      </c>
      <c r="O474" s="74">
        <v>174.99760000000001</v>
      </c>
      <c r="P474" s="75" t="s">
        <v>536</v>
      </c>
      <c r="Q474" s="76">
        <f t="shared" si="23"/>
        <v>349.99520000000001</v>
      </c>
      <c r="R474" s="76"/>
      <c r="S474" s="76"/>
      <c r="T474" s="76"/>
      <c r="U474" s="76"/>
      <c r="V474" s="76"/>
      <c r="W474" s="76">
        <f>2*O474</f>
        <v>349.99520000000001</v>
      </c>
      <c r="X474" s="76"/>
      <c r="Y474" s="76"/>
      <c r="Z474" s="76"/>
      <c r="AA474" s="76"/>
      <c r="AB474" s="76"/>
      <c r="AC474" s="76"/>
    </row>
    <row r="475" spans="1:29" s="77" customFormat="1" ht="20.25" customHeight="1" x14ac:dyDescent="0.3">
      <c r="A475" s="65" t="s">
        <v>377</v>
      </c>
      <c r="B475" s="66" t="s">
        <v>480</v>
      </c>
      <c r="C475" s="66" t="s">
        <v>69</v>
      </c>
      <c r="D475" s="83" t="s">
        <v>74</v>
      </c>
      <c r="E475" s="84" t="s">
        <v>572</v>
      </c>
      <c r="F475" s="85" t="s">
        <v>600</v>
      </c>
      <c r="G475" s="89">
        <v>35201</v>
      </c>
      <c r="H475" s="92" t="s">
        <v>601</v>
      </c>
      <c r="I475" s="72" t="s">
        <v>429</v>
      </c>
      <c r="J475" s="81" t="s">
        <v>602</v>
      </c>
      <c r="K475" s="72" t="s">
        <v>379</v>
      </c>
      <c r="L475" s="73" t="s">
        <v>379</v>
      </c>
      <c r="M475" s="72" t="s">
        <v>429</v>
      </c>
      <c r="N475" s="89">
        <v>1</v>
      </c>
      <c r="O475" s="74">
        <v>2000.0024000000001</v>
      </c>
      <c r="P475" s="75" t="s">
        <v>484</v>
      </c>
      <c r="Q475" s="76">
        <f t="shared" si="23"/>
        <v>2000</v>
      </c>
      <c r="R475" s="76"/>
      <c r="S475" s="76"/>
      <c r="T475" s="76"/>
      <c r="U475" s="76"/>
      <c r="V475" s="76"/>
      <c r="W475" s="76">
        <v>2000</v>
      </c>
      <c r="X475" s="76"/>
      <c r="Y475" s="76"/>
      <c r="Z475" s="76"/>
      <c r="AA475" s="76"/>
      <c r="AB475" s="76"/>
      <c r="AC475" s="76"/>
    </row>
    <row r="476" spans="1:29" s="77" customFormat="1" ht="20.25" customHeight="1" x14ac:dyDescent="0.3">
      <c r="A476" s="65" t="s">
        <v>377</v>
      </c>
      <c r="B476" s="66" t="s">
        <v>480</v>
      </c>
      <c r="C476" s="66" t="s">
        <v>69</v>
      </c>
      <c r="D476" s="83" t="s">
        <v>74</v>
      </c>
      <c r="E476" s="84" t="s">
        <v>572</v>
      </c>
      <c r="F476" s="85" t="s">
        <v>600</v>
      </c>
      <c r="G476" s="89">
        <v>36101</v>
      </c>
      <c r="H476" s="92" t="s">
        <v>603</v>
      </c>
      <c r="I476" s="72" t="s">
        <v>429</v>
      </c>
      <c r="J476" s="81" t="s">
        <v>602</v>
      </c>
      <c r="K476" s="72" t="s">
        <v>379</v>
      </c>
      <c r="L476" s="73" t="s">
        <v>379</v>
      </c>
      <c r="M476" s="72" t="s">
        <v>429</v>
      </c>
      <c r="N476" s="89">
        <v>2</v>
      </c>
      <c r="O476" s="74">
        <v>2000.0024000000001</v>
      </c>
      <c r="P476" s="75" t="s">
        <v>484</v>
      </c>
      <c r="Q476" s="76">
        <f t="shared" si="23"/>
        <v>4000</v>
      </c>
      <c r="R476" s="76"/>
      <c r="S476" s="76">
        <v>2000</v>
      </c>
      <c r="T476" s="76"/>
      <c r="U476" s="76"/>
      <c r="V476" s="76"/>
      <c r="W476" s="76"/>
      <c r="X476" s="76"/>
      <c r="Y476" s="76">
        <v>2000</v>
      </c>
      <c r="Z476" s="76"/>
      <c r="AA476" s="76"/>
      <c r="AB476" s="76"/>
      <c r="AC476" s="76"/>
    </row>
    <row r="477" spans="1:29" s="77" customFormat="1" ht="20.25" customHeight="1" x14ac:dyDescent="0.3">
      <c r="A477" s="65" t="s">
        <v>377</v>
      </c>
      <c r="B477" s="66" t="s">
        <v>480</v>
      </c>
      <c r="C477" s="66" t="s">
        <v>69</v>
      </c>
      <c r="D477" s="83" t="s">
        <v>70</v>
      </c>
      <c r="E477" s="84" t="s">
        <v>69</v>
      </c>
      <c r="F477" s="85" t="s">
        <v>71</v>
      </c>
      <c r="G477" s="85">
        <v>37504</v>
      </c>
      <c r="H477" s="92" t="s">
        <v>604</v>
      </c>
      <c r="I477" s="72" t="s">
        <v>429</v>
      </c>
      <c r="J477" s="90" t="s">
        <v>605</v>
      </c>
      <c r="K477" s="72" t="s">
        <v>379</v>
      </c>
      <c r="L477" s="73" t="s">
        <v>379</v>
      </c>
      <c r="M477" s="72" t="s">
        <v>429</v>
      </c>
      <c r="N477" s="89">
        <f t="shared" si="22"/>
        <v>2</v>
      </c>
      <c r="O477" s="74">
        <v>625</v>
      </c>
      <c r="P477" s="75" t="s">
        <v>484</v>
      </c>
      <c r="Q477" s="76">
        <f t="shared" si="23"/>
        <v>1250</v>
      </c>
      <c r="R477" s="76"/>
      <c r="S477" s="76"/>
      <c r="T477" s="76">
        <v>625</v>
      </c>
      <c r="U477" s="76"/>
      <c r="V477" s="76"/>
      <c r="W477" s="76"/>
      <c r="X477" s="76">
        <v>625</v>
      </c>
      <c r="Y477" s="76"/>
      <c r="Z477" s="76"/>
      <c r="AA477" s="76"/>
      <c r="AB477" s="76"/>
      <c r="AC477" s="76"/>
    </row>
    <row r="478" spans="1:29" s="77" customFormat="1" ht="20.25" customHeight="1" x14ac:dyDescent="0.3">
      <c r="A478" s="65" t="s">
        <v>377</v>
      </c>
      <c r="B478" s="66" t="s">
        <v>480</v>
      </c>
      <c r="C478" s="66" t="s">
        <v>69</v>
      </c>
      <c r="D478" s="83" t="s">
        <v>74</v>
      </c>
      <c r="E478" s="84" t="s">
        <v>572</v>
      </c>
      <c r="F478" s="85" t="s">
        <v>80</v>
      </c>
      <c r="G478" s="85">
        <v>37901</v>
      </c>
      <c r="H478" s="92" t="s">
        <v>606</v>
      </c>
      <c r="I478" s="72" t="s">
        <v>429</v>
      </c>
      <c r="J478" s="90" t="s">
        <v>607</v>
      </c>
      <c r="K478" s="72" t="s">
        <v>379</v>
      </c>
      <c r="L478" s="73" t="s">
        <v>379</v>
      </c>
      <c r="M478" s="72" t="s">
        <v>429</v>
      </c>
      <c r="N478" s="89">
        <f t="shared" si="22"/>
        <v>220</v>
      </c>
      <c r="O478" s="74">
        <v>270</v>
      </c>
      <c r="P478" s="75" t="s">
        <v>484</v>
      </c>
      <c r="Q478" s="76">
        <f t="shared" si="23"/>
        <v>59400</v>
      </c>
      <c r="R478" s="76">
        <f>20*270</f>
        <v>5400</v>
      </c>
      <c r="S478" s="76">
        <f t="shared" ref="S478:AB478" si="24">20*270</f>
        <v>5400</v>
      </c>
      <c r="T478" s="76">
        <f t="shared" si="24"/>
        <v>5400</v>
      </c>
      <c r="U478" s="76">
        <f t="shared" si="24"/>
        <v>5400</v>
      </c>
      <c r="V478" s="76">
        <f t="shared" si="24"/>
        <v>5400</v>
      </c>
      <c r="W478" s="76">
        <f t="shared" si="24"/>
        <v>5400</v>
      </c>
      <c r="X478" s="76">
        <f>10*270</f>
        <v>2700</v>
      </c>
      <c r="Y478" s="76">
        <f t="shared" si="24"/>
        <v>5400</v>
      </c>
      <c r="Z478" s="76">
        <f t="shared" si="24"/>
        <v>5400</v>
      </c>
      <c r="AA478" s="76">
        <f t="shared" si="24"/>
        <v>5400</v>
      </c>
      <c r="AB478" s="76">
        <f t="shared" si="24"/>
        <v>5400</v>
      </c>
      <c r="AC478" s="76">
        <f>10*270</f>
        <v>2700</v>
      </c>
    </row>
    <row r="479" spans="1:29" s="97" customFormat="1" ht="20.25" customHeight="1" x14ac:dyDescent="0.3">
      <c r="A479" s="65" t="s">
        <v>377</v>
      </c>
      <c r="B479" s="66" t="s">
        <v>480</v>
      </c>
      <c r="C479" s="66" t="s">
        <v>69</v>
      </c>
      <c r="D479" s="83" t="s">
        <v>74</v>
      </c>
      <c r="E479" s="84" t="s">
        <v>455</v>
      </c>
      <c r="F479" s="85" t="s">
        <v>87</v>
      </c>
      <c r="G479" s="85">
        <v>31401</v>
      </c>
      <c r="H479" s="70" t="s">
        <v>494</v>
      </c>
      <c r="I479" s="88" t="s">
        <v>429</v>
      </c>
      <c r="J479" s="71" t="s">
        <v>494</v>
      </c>
      <c r="K479" s="94" t="s">
        <v>492</v>
      </c>
      <c r="L479" s="94" t="s">
        <v>379</v>
      </c>
      <c r="M479" s="75" t="s">
        <v>429</v>
      </c>
      <c r="N479" s="89">
        <f t="shared" si="22"/>
        <v>1</v>
      </c>
      <c r="O479" s="76">
        <v>1714</v>
      </c>
      <c r="P479" s="94" t="s">
        <v>484</v>
      </c>
      <c r="Q479" s="76">
        <f t="shared" si="23"/>
        <v>1714</v>
      </c>
      <c r="R479" s="76">
        <v>1714</v>
      </c>
      <c r="S479" s="76"/>
      <c r="T479" s="76"/>
      <c r="U479" s="76"/>
      <c r="V479" s="76"/>
      <c r="W479" s="76"/>
      <c r="X479" s="95">
        <v>0</v>
      </c>
      <c r="Y479" s="95">
        <v>0</v>
      </c>
      <c r="Z479" s="95">
        <v>0</v>
      </c>
      <c r="AA479" s="96"/>
      <c r="AB479" s="96"/>
      <c r="AC479" s="96"/>
    </row>
    <row r="480" spans="1:29" s="99" customFormat="1" ht="20.25" customHeight="1" x14ac:dyDescent="0.3">
      <c r="A480" s="65" t="s">
        <v>377</v>
      </c>
      <c r="B480" s="66" t="s">
        <v>480</v>
      </c>
      <c r="C480" s="66" t="s">
        <v>69</v>
      </c>
      <c r="D480" s="83" t="s">
        <v>74</v>
      </c>
      <c r="E480" s="84" t="s">
        <v>455</v>
      </c>
      <c r="F480" s="85" t="s">
        <v>87</v>
      </c>
      <c r="G480" s="85">
        <v>31301</v>
      </c>
      <c r="H480" s="70" t="s">
        <v>569</v>
      </c>
      <c r="I480" s="88" t="s">
        <v>429</v>
      </c>
      <c r="J480" s="90" t="s">
        <v>569</v>
      </c>
      <c r="K480" s="89" t="s">
        <v>379</v>
      </c>
      <c r="L480" s="72" t="s">
        <v>379</v>
      </c>
      <c r="M480" s="75" t="s">
        <v>608</v>
      </c>
      <c r="N480" s="89">
        <f t="shared" si="22"/>
        <v>14.296482412060302</v>
      </c>
      <c r="O480" s="86">
        <v>199</v>
      </c>
      <c r="P480" s="75" t="s">
        <v>484</v>
      </c>
      <c r="Q480" s="76">
        <f t="shared" si="23"/>
        <v>2845</v>
      </c>
      <c r="R480" s="86">
        <v>199</v>
      </c>
      <c r="S480" s="86"/>
      <c r="T480" s="86"/>
      <c r="U480" s="86"/>
      <c r="V480" s="86"/>
      <c r="W480" s="86"/>
      <c r="X480" s="86"/>
      <c r="Y480" s="86"/>
      <c r="Z480" s="86"/>
      <c r="AA480" s="98">
        <f>SUBTOTAL(9,AA397:AA397)</f>
        <v>945</v>
      </c>
      <c r="AB480" s="98">
        <f>SUBTOTAL(9,AB397:AB397)</f>
        <v>756</v>
      </c>
      <c r="AC480" s="98">
        <f>SUBTOTAL(9,AC397:AC397)</f>
        <v>945</v>
      </c>
    </row>
    <row r="481" spans="1:16379" s="99" customFormat="1" ht="20.25" customHeight="1" x14ac:dyDescent="0.3">
      <c r="A481" s="100" t="s">
        <v>377</v>
      </c>
      <c r="B481" s="68" t="s">
        <v>480</v>
      </c>
      <c r="C481" s="68" t="s">
        <v>69</v>
      </c>
      <c r="D481" s="67" t="s">
        <v>74</v>
      </c>
      <c r="E481" s="68" t="s">
        <v>455</v>
      </c>
      <c r="F481" s="83" t="s">
        <v>87</v>
      </c>
      <c r="G481" s="68" t="s">
        <v>609</v>
      </c>
      <c r="H481" s="71" t="s">
        <v>610</v>
      </c>
      <c r="I481" s="68" t="s">
        <v>608</v>
      </c>
      <c r="J481" s="70" t="s">
        <v>611</v>
      </c>
      <c r="K481" s="72" t="s">
        <v>491</v>
      </c>
      <c r="L481" s="101" t="s">
        <v>492</v>
      </c>
      <c r="M481" s="101" t="s">
        <v>429</v>
      </c>
      <c r="N481" s="89">
        <f t="shared" si="22"/>
        <v>1</v>
      </c>
      <c r="O481" s="98">
        <v>87</v>
      </c>
      <c r="P481" s="101" t="s">
        <v>484</v>
      </c>
      <c r="Q481" s="76">
        <f t="shared" si="23"/>
        <v>87</v>
      </c>
      <c r="R481" s="98">
        <v>87</v>
      </c>
      <c r="S481" s="98"/>
      <c r="T481" s="98"/>
      <c r="U481" s="98"/>
      <c r="V481" s="98"/>
      <c r="W481" s="98"/>
      <c r="X481" s="98"/>
      <c r="Y481" s="98"/>
      <c r="Z481" s="98"/>
      <c r="AA481" s="98"/>
      <c r="AB481" s="98"/>
      <c r="AC481" s="98"/>
    </row>
    <row r="482" spans="1:16379" s="106" customFormat="1" ht="20.25" customHeight="1" x14ac:dyDescent="0.3">
      <c r="A482" s="100" t="s">
        <v>377</v>
      </c>
      <c r="B482" s="68" t="s">
        <v>480</v>
      </c>
      <c r="C482" s="68" t="s">
        <v>69</v>
      </c>
      <c r="D482" s="67" t="s">
        <v>74</v>
      </c>
      <c r="E482" s="68" t="s">
        <v>455</v>
      </c>
      <c r="F482" s="102" t="s">
        <v>444</v>
      </c>
      <c r="G482" s="103">
        <v>25401</v>
      </c>
      <c r="H482" s="71" t="s">
        <v>612</v>
      </c>
      <c r="I482" s="67" t="s">
        <v>366</v>
      </c>
      <c r="J482" s="71" t="s">
        <v>486</v>
      </c>
      <c r="K482" s="72" t="s">
        <v>379</v>
      </c>
      <c r="L482" s="73" t="s">
        <v>379</v>
      </c>
      <c r="M482" s="67" t="s">
        <v>383</v>
      </c>
      <c r="N482" s="69">
        <f t="shared" si="22"/>
        <v>4500</v>
      </c>
      <c r="O482" s="104">
        <v>5</v>
      </c>
      <c r="P482" s="75" t="s">
        <v>484</v>
      </c>
      <c r="Q482" s="76">
        <f t="shared" si="23"/>
        <v>22500</v>
      </c>
      <c r="R482" s="105"/>
      <c r="S482" s="76"/>
      <c r="T482" s="76">
        <f>800*O482</f>
        <v>4000</v>
      </c>
      <c r="U482" s="105">
        <f>800*O482</f>
        <v>4000</v>
      </c>
      <c r="V482" s="105"/>
      <c r="W482" s="105"/>
      <c r="X482" s="105">
        <f>800*O482</f>
        <v>4000</v>
      </c>
      <c r="Y482" s="105"/>
      <c r="Z482" s="105">
        <f>800*O482</f>
        <v>4000</v>
      </c>
      <c r="AA482" s="105"/>
      <c r="AB482" s="105">
        <f>800*O482</f>
        <v>4000</v>
      </c>
      <c r="AC482" s="105">
        <f>500*O482</f>
        <v>2500</v>
      </c>
    </row>
    <row r="483" spans="1:16379" s="106" customFormat="1" ht="20.25" customHeight="1" x14ac:dyDescent="0.3">
      <c r="A483" s="100" t="s">
        <v>377</v>
      </c>
      <c r="B483" s="68" t="s">
        <v>480</v>
      </c>
      <c r="C483" s="68" t="s">
        <v>69</v>
      </c>
      <c r="D483" s="67" t="s">
        <v>74</v>
      </c>
      <c r="E483" s="68" t="s">
        <v>455</v>
      </c>
      <c r="F483" s="102" t="s">
        <v>444</v>
      </c>
      <c r="G483" s="103">
        <v>21601</v>
      </c>
      <c r="H483" s="71" t="s">
        <v>613</v>
      </c>
      <c r="I483" s="67" t="s">
        <v>614</v>
      </c>
      <c r="J483" s="71" t="s">
        <v>615</v>
      </c>
      <c r="K483" s="72" t="s">
        <v>379</v>
      </c>
      <c r="L483" s="73" t="s">
        <v>379</v>
      </c>
      <c r="M483" s="67" t="s">
        <v>62</v>
      </c>
      <c r="N483" s="69">
        <f t="shared" si="22"/>
        <v>27</v>
      </c>
      <c r="O483" s="104">
        <v>50</v>
      </c>
      <c r="P483" s="75" t="s">
        <v>484</v>
      </c>
      <c r="Q483" s="76">
        <f t="shared" si="23"/>
        <v>1350</v>
      </c>
      <c r="R483" s="105"/>
      <c r="S483" s="105"/>
      <c r="T483" s="105">
        <f>5*O483</f>
        <v>250</v>
      </c>
      <c r="U483" s="105">
        <f>5*O483</f>
        <v>250</v>
      </c>
      <c r="V483" s="105"/>
      <c r="W483" s="105"/>
      <c r="X483" s="105">
        <f>5*O483</f>
        <v>250</v>
      </c>
      <c r="Y483" s="105"/>
      <c r="Z483" s="105">
        <f>5*O483</f>
        <v>250</v>
      </c>
      <c r="AA483" s="105"/>
      <c r="AB483" s="105">
        <f>5*O483</f>
        <v>250</v>
      </c>
      <c r="AC483" s="104">
        <f>2*O483</f>
        <v>100</v>
      </c>
    </row>
    <row r="484" spans="1:16379" s="106" customFormat="1" ht="20.25" customHeight="1" x14ac:dyDescent="0.3">
      <c r="A484" s="100" t="s">
        <v>377</v>
      </c>
      <c r="B484" s="68" t="s">
        <v>480</v>
      </c>
      <c r="C484" s="68" t="s">
        <v>69</v>
      </c>
      <c r="D484" s="67" t="s">
        <v>74</v>
      </c>
      <c r="E484" s="68" t="s">
        <v>455</v>
      </c>
      <c r="F484" s="102" t="s">
        <v>444</v>
      </c>
      <c r="G484" s="103">
        <v>21601</v>
      </c>
      <c r="H484" s="71" t="s">
        <v>613</v>
      </c>
      <c r="I484" s="67" t="s">
        <v>616</v>
      </c>
      <c r="J484" s="71" t="s">
        <v>617</v>
      </c>
      <c r="K484" s="72" t="s">
        <v>379</v>
      </c>
      <c r="L484" s="73" t="s">
        <v>379</v>
      </c>
      <c r="M484" s="67" t="s">
        <v>383</v>
      </c>
      <c r="N484" s="69">
        <f t="shared" si="22"/>
        <v>110</v>
      </c>
      <c r="O484" s="104">
        <v>20</v>
      </c>
      <c r="P484" s="75" t="s">
        <v>484</v>
      </c>
      <c r="Q484" s="76">
        <f t="shared" si="23"/>
        <v>2200</v>
      </c>
      <c r="R484" s="105"/>
      <c r="S484" s="105"/>
      <c r="T484" s="105">
        <f>20*O484</f>
        <v>400</v>
      </c>
      <c r="U484" s="105">
        <f>20*O484</f>
        <v>400</v>
      </c>
      <c r="V484" s="105"/>
      <c r="W484" s="105"/>
      <c r="X484" s="105">
        <f>20*O484</f>
        <v>400</v>
      </c>
      <c r="Y484" s="105"/>
      <c r="Z484" s="105">
        <f>20*O484</f>
        <v>400</v>
      </c>
      <c r="AA484" s="105"/>
      <c r="AB484" s="105">
        <f>20*O484</f>
        <v>400</v>
      </c>
      <c r="AC484" s="104">
        <f>10*O484</f>
        <v>200</v>
      </c>
    </row>
    <row r="485" spans="1:16379" s="106" customFormat="1" ht="20.25" customHeight="1" x14ac:dyDescent="0.3">
      <c r="A485" s="100" t="s">
        <v>377</v>
      </c>
      <c r="B485" s="68" t="s">
        <v>480</v>
      </c>
      <c r="C485" s="68" t="s">
        <v>69</v>
      </c>
      <c r="D485" s="67" t="s">
        <v>74</v>
      </c>
      <c r="E485" s="68" t="s">
        <v>455</v>
      </c>
      <c r="F485" s="102" t="s">
        <v>444</v>
      </c>
      <c r="G485" s="103">
        <v>21601</v>
      </c>
      <c r="H485" s="71" t="s">
        <v>613</v>
      </c>
      <c r="I485" s="67" t="s">
        <v>618</v>
      </c>
      <c r="J485" s="71" t="s">
        <v>619</v>
      </c>
      <c r="K485" s="72" t="s">
        <v>379</v>
      </c>
      <c r="L485" s="73" t="s">
        <v>379</v>
      </c>
      <c r="M485" s="67" t="s">
        <v>620</v>
      </c>
      <c r="N485" s="69">
        <f t="shared" si="22"/>
        <v>110</v>
      </c>
      <c r="O485" s="104">
        <v>22</v>
      </c>
      <c r="P485" s="75" t="s">
        <v>484</v>
      </c>
      <c r="Q485" s="76">
        <f t="shared" si="23"/>
        <v>2420</v>
      </c>
      <c r="R485" s="105"/>
      <c r="S485" s="105"/>
      <c r="T485" s="105">
        <f>20*O485</f>
        <v>440</v>
      </c>
      <c r="U485" s="105">
        <f>20*O485</f>
        <v>440</v>
      </c>
      <c r="V485" s="105"/>
      <c r="W485" s="105"/>
      <c r="X485" s="105">
        <f>20*O485</f>
        <v>440</v>
      </c>
      <c r="Y485" s="105"/>
      <c r="Z485" s="105">
        <f>20*O485</f>
        <v>440</v>
      </c>
      <c r="AA485" s="105"/>
      <c r="AB485" s="105">
        <f>20*O485</f>
        <v>440</v>
      </c>
      <c r="AC485" s="104">
        <f>10*O485</f>
        <v>220</v>
      </c>
    </row>
    <row r="486" spans="1:16379" s="106" customFormat="1" ht="20.25" customHeight="1" x14ac:dyDescent="0.3">
      <c r="A486" s="100" t="s">
        <v>377</v>
      </c>
      <c r="B486" s="68" t="s">
        <v>480</v>
      </c>
      <c r="C486" s="68" t="s">
        <v>69</v>
      </c>
      <c r="D486" s="67" t="s">
        <v>74</v>
      </c>
      <c r="E486" s="68" t="s">
        <v>455</v>
      </c>
      <c r="F486" s="102" t="s">
        <v>444</v>
      </c>
      <c r="G486" s="103">
        <v>21601</v>
      </c>
      <c r="H486" s="71" t="s">
        <v>613</v>
      </c>
      <c r="I486" s="67" t="s">
        <v>621</v>
      </c>
      <c r="J486" s="71" t="s">
        <v>622</v>
      </c>
      <c r="K486" s="72" t="s">
        <v>379</v>
      </c>
      <c r="L486" s="73" t="s">
        <v>379</v>
      </c>
      <c r="M486" s="67" t="s">
        <v>54</v>
      </c>
      <c r="N486" s="69">
        <f t="shared" si="22"/>
        <v>55</v>
      </c>
      <c r="O486" s="104">
        <v>39</v>
      </c>
      <c r="P486" s="75" t="s">
        <v>484</v>
      </c>
      <c r="Q486" s="76">
        <f t="shared" si="23"/>
        <v>2145</v>
      </c>
      <c r="R486" s="105"/>
      <c r="S486" s="105"/>
      <c r="T486" s="105">
        <f>10*O486</f>
        <v>390</v>
      </c>
      <c r="U486" s="105">
        <f>10*O486</f>
        <v>390</v>
      </c>
      <c r="V486" s="105"/>
      <c r="W486" s="105"/>
      <c r="X486" s="105">
        <f>10*O486</f>
        <v>390</v>
      </c>
      <c r="Y486" s="105"/>
      <c r="Z486" s="105">
        <f>10*O486</f>
        <v>390</v>
      </c>
      <c r="AA486" s="105"/>
      <c r="AB486" s="105">
        <f>10*O486</f>
        <v>390</v>
      </c>
      <c r="AC486" s="104">
        <f>5*O486</f>
        <v>195</v>
      </c>
    </row>
    <row r="487" spans="1:16379" s="106" customFormat="1" ht="20.25" customHeight="1" x14ac:dyDescent="0.3">
      <c r="A487" s="100" t="s">
        <v>377</v>
      </c>
      <c r="B487" s="68" t="s">
        <v>480</v>
      </c>
      <c r="C487" s="68" t="s">
        <v>69</v>
      </c>
      <c r="D487" s="67" t="s">
        <v>74</v>
      </c>
      <c r="E487" s="68" t="s">
        <v>455</v>
      </c>
      <c r="F487" s="102" t="s">
        <v>444</v>
      </c>
      <c r="G487" s="103">
        <v>21601</v>
      </c>
      <c r="H487" s="71" t="s">
        <v>613</v>
      </c>
      <c r="I487" s="67" t="s">
        <v>623</v>
      </c>
      <c r="J487" s="71" t="s">
        <v>624</v>
      </c>
      <c r="K487" s="72" t="s">
        <v>379</v>
      </c>
      <c r="L487" s="73" t="s">
        <v>379</v>
      </c>
      <c r="M487" s="67" t="s">
        <v>54</v>
      </c>
      <c r="N487" s="69">
        <f t="shared" si="22"/>
        <v>4</v>
      </c>
      <c r="O487" s="104">
        <v>32</v>
      </c>
      <c r="P487" s="75" t="s">
        <v>484</v>
      </c>
      <c r="Q487" s="76">
        <f t="shared" si="23"/>
        <v>128</v>
      </c>
      <c r="R487" s="105"/>
      <c r="S487" s="105"/>
      <c r="T487" s="105"/>
      <c r="U487" s="105"/>
      <c r="V487" s="105"/>
      <c r="W487" s="105"/>
      <c r="X487" s="105"/>
      <c r="Y487" s="105"/>
      <c r="Z487" s="105"/>
      <c r="AA487" s="105"/>
      <c r="AB487" s="105"/>
      <c r="AC487" s="104">
        <f>4*O487</f>
        <v>128</v>
      </c>
    </row>
    <row r="488" spans="1:16379" s="106" customFormat="1" ht="20.25" customHeight="1" x14ac:dyDescent="0.3">
      <c r="A488" s="100" t="s">
        <v>377</v>
      </c>
      <c r="B488" s="68" t="s">
        <v>480</v>
      </c>
      <c r="C488" s="68" t="s">
        <v>69</v>
      </c>
      <c r="D488" s="67" t="s">
        <v>74</v>
      </c>
      <c r="E488" s="68" t="s">
        <v>455</v>
      </c>
      <c r="F488" s="102" t="s">
        <v>444</v>
      </c>
      <c r="G488" s="103">
        <v>21601</v>
      </c>
      <c r="H488" s="71" t="s">
        <v>613</v>
      </c>
      <c r="I488" s="67" t="s">
        <v>625</v>
      </c>
      <c r="J488" s="71" t="s">
        <v>626</v>
      </c>
      <c r="K488" s="72" t="s">
        <v>379</v>
      </c>
      <c r="L488" s="73" t="s">
        <v>379</v>
      </c>
      <c r="M488" s="67" t="s">
        <v>54</v>
      </c>
      <c r="N488" s="69">
        <f t="shared" si="22"/>
        <v>24</v>
      </c>
      <c r="O488" s="104">
        <v>100</v>
      </c>
      <c r="P488" s="75" t="s">
        <v>484</v>
      </c>
      <c r="Q488" s="76">
        <f t="shared" si="23"/>
        <v>2400</v>
      </c>
      <c r="R488" s="105"/>
      <c r="S488" s="105"/>
      <c r="T488" s="105">
        <f>4*O488</f>
        <v>400</v>
      </c>
      <c r="U488" s="105">
        <f>4*O488</f>
        <v>400</v>
      </c>
      <c r="V488" s="105"/>
      <c r="W488" s="105"/>
      <c r="X488" s="105">
        <f>4*O488</f>
        <v>400</v>
      </c>
      <c r="Y488" s="105"/>
      <c r="Z488" s="105">
        <f>4*O488</f>
        <v>400</v>
      </c>
      <c r="AA488" s="105"/>
      <c r="AB488" s="105">
        <f>4*O488</f>
        <v>400</v>
      </c>
      <c r="AC488" s="104">
        <f>4*O488</f>
        <v>400</v>
      </c>
    </row>
    <row r="489" spans="1:16379" s="106" customFormat="1" ht="20.25" customHeight="1" x14ac:dyDescent="0.3">
      <c r="A489" s="100" t="s">
        <v>377</v>
      </c>
      <c r="B489" s="68" t="s">
        <v>480</v>
      </c>
      <c r="C489" s="68" t="s">
        <v>69</v>
      </c>
      <c r="D489" s="67" t="s">
        <v>74</v>
      </c>
      <c r="E489" s="68" t="s">
        <v>455</v>
      </c>
      <c r="F489" s="102" t="s">
        <v>444</v>
      </c>
      <c r="G489" s="103">
        <v>21601</v>
      </c>
      <c r="H489" s="71" t="s">
        <v>613</v>
      </c>
      <c r="I489" s="67" t="s">
        <v>627</v>
      </c>
      <c r="J489" s="71" t="s">
        <v>628</v>
      </c>
      <c r="K489" s="72" t="s">
        <v>379</v>
      </c>
      <c r="L489" s="73" t="s">
        <v>379</v>
      </c>
      <c r="M489" s="67" t="s">
        <v>62</v>
      </c>
      <c r="N489" s="69">
        <f t="shared" si="22"/>
        <v>22</v>
      </c>
      <c r="O489" s="104">
        <v>10</v>
      </c>
      <c r="P489" s="75" t="s">
        <v>484</v>
      </c>
      <c r="Q489" s="76">
        <f t="shared" si="23"/>
        <v>220</v>
      </c>
      <c r="R489" s="105"/>
      <c r="S489" s="105"/>
      <c r="T489" s="105">
        <f>4*O489</f>
        <v>40</v>
      </c>
      <c r="U489" s="105">
        <f>4*O489</f>
        <v>40</v>
      </c>
      <c r="V489" s="105"/>
      <c r="W489" s="105"/>
      <c r="X489" s="105">
        <f>4*O489</f>
        <v>40</v>
      </c>
      <c r="Y489" s="105"/>
      <c r="Z489" s="105">
        <f>4*O489</f>
        <v>40</v>
      </c>
      <c r="AA489" s="105"/>
      <c r="AB489" s="105">
        <f>4*O489</f>
        <v>40</v>
      </c>
      <c r="AC489" s="104">
        <f>2*O489</f>
        <v>20</v>
      </c>
    </row>
    <row r="490" spans="1:16379" s="106" customFormat="1" ht="20.25" customHeight="1" x14ac:dyDescent="0.3">
      <c r="A490" s="100" t="s">
        <v>377</v>
      </c>
      <c r="B490" s="68" t="s">
        <v>480</v>
      </c>
      <c r="C490" s="68" t="s">
        <v>69</v>
      </c>
      <c r="D490" s="67" t="s">
        <v>74</v>
      </c>
      <c r="E490" s="68" t="s">
        <v>455</v>
      </c>
      <c r="F490" s="102" t="s">
        <v>444</v>
      </c>
      <c r="G490" s="103">
        <v>21601</v>
      </c>
      <c r="H490" s="71" t="s">
        <v>613</v>
      </c>
      <c r="I490" s="67" t="s">
        <v>349</v>
      </c>
      <c r="J490" s="71" t="s">
        <v>78</v>
      </c>
      <c r="K490" s="72" t="s">
        <v>379</v>
      </c>
      <c r="L490" s="73" t="s">
        <v>379</v>
      </c>
      <c r="M490" s="67" t="s">
        <v>54</v>
      </c>
      <c r="N490" s="69">
        <f t="shared" si="22"/>
        <v>88</v>
      </c>
      <c r="O490" s="104">
        <v>92</v>
      </c>
      <c r="P490" s="75" t="s">
        <v>484</v>
      </c>
      <c r="Q490" s="76">
        <f t="shared" si="23"/>
        <v>8096</v>
      </c>
      <c r="R490" s="105"/>
      <c r="S490" s="105"/>
      <c r="T490" s="105">
        <f>16*O490</f>
        <v>1472</v>
      </c>
      <c r="U490" s="105">
        <f>16*O490</f>
        <v>1472</v>
      </c>
      <c r="V490" s="105"/>
      <c r="W490" s="105"/>
      <c r="X490" s="105">
        <f>16*O490</f>
        <v>1472</v>
      </c>
      <c r="Y490" s="105"/>
      <c r="Z490" s="105">
        <f>16*O490</f>
        <v>1472</v>
      </c>
      <c r="AA490" s="105"/>
      <c r="AB490" s="105">
        <f>16*O490</f>
        <v>1472</v>
      </c>
      <c r="AC490" s="104">
        <f>8*O490</f>
        <v>736</v>
      </c>
    </row>
    <row r="491" spans="1:16379" s="106" customFormat="1" ht="20.25" customHeight="1" x14ac:dyDescent="0.3">
      <c r="A491" s="100" t="s">
        <v>377</v>
      </c>
      <c r="B491" s="68" t="s">
        <v>480</v>
      </c>
      <c r="C491" s="68" t="s">
        <v>69</v>
      </c>
      <c r="D491" s="68" t="s">
        <v>70</v>
      </c>
      <c r="E491" s="68" t="s">
        <v>69</v>
      </c>
      <c r="F491" s="68" t="s">
        <v>71</v>
      </c>
      <c r="G491" s="68" t="s">
        <v>629</v>
      </c>
      <c r="H491" s="71" t="s">
        <v>499</v>
      </c>
      <c r="I491" s="68" t="s">
        <v>429</v>
      </c>
      <c r="J491" s="90" t="s">
        <v>499</v>
      </c>
      <c r="K491" s="102" t="s">
        <v>379</v>
      </c>
      <c r="L491" s="102" t="s">
        <v>379</v>
      </c>
      <c r="M491" s="102" t="s">
        <v>429</v>
      </c>
      <c r="N491" s="89">
        <v>10</v>
      </c>
      <c r="O491" s="105">
        <v>1519</v>
      </c>
      <c r="P491" s="91" t="s">
        <v>484</v>
      </c>
      <c r="Q491" s="76">
        <f t="shared" si="23"/>
        <v>15192</v>
      </c>
      <c r="R491" s="105"/>
      <c r="S491" s="107">
        <v>1780</v>
      </c>
      <c r="T491" s="107">
        <v>500</v>
      </c>
      <c r="U491" s="107">
        <v>3000</v>
      </c>
      <c r="V491" s="107">
        <v>1160</v>
      </c>
      <c r="W491" s="107">
        <v>2402</v>
      </c>
      <c r="X491" s="107">
        <v>500</v>
      </c>
      <c r="Y491" s="107">
        <v>1781</v>
      </c>
      <c r="Z491" s="107">
        <v>500</v>
      </c>
      <c r="AA491" s="107">
        <v>2409</v>
      </c>
      <c r="AB491" s="107">
        <v>1160</v>
      </c>
      <c r="AC491" s="105"/>
    </row>
    <row r="492" spans="1:16379" s="109" customFormat="1" ht="20.25" customHeight="1" x14ac:dyDescent="0.3">
      <c r="A492" s="100" t="s">
        <v>377</v>
      </c>
      <c r="B492" s="68" t="s">
        <v>480</v>
      </c>
      <c r="C492" s="68" t="s">
        <v>69</v>
      </c>
      <c r="D492" s="67" t="s">
        <v>70</v>
      </c>
      <c r="E492" s="68" t="s">
        <v>69</v>
      </c>
      <c r="F492" s="102" t="s">
        <v>444</v>
      </c>
      <c r="G492" s="103">
        <v>21601</v>
      </c>
      <c r="H492" s="71" t="s">
        <v>613</v>
      </c>
      <c r="I492" s="67" t="s">
        <v>349</v>
      </c>
      <c r="J492" s="71" t="s">
        <v>78</v>
      </c>
      <c r="K492" s="72" t="s">
        <v>379</v>
      </c>
      <c r="L492" s="73" t="s">
        <v>379</v>
      </c>
      <c r="M492" s="102" t="s">
        <v>383</v>
      </c>
      <c r="N492" s="69">
        <f t="shared" ref="N492:N500" si="25">Q492/O492</f>
        <v>79</v>
      </c>
      <c r="O492" s="105">
        <v>92</v>
      </c>
      <c r="P492" s="75" t="s">
        <v>484</v>
      </c>
      <c r="Q492" s="76">
        <f t="shared" si="23"/>
        <v>7268</v>
      </c>
      <c r="R492" s="105"/>
      <c r="S492" s="105">
        <f>10*O492</f>
        <v>920</v>
      </c>
      <c r="T492" s="105">
        <f>4*O492</f>
        <v>368</v>
      </c>
      <c r="U492" s="105">
        <f>S492</f>
        <v>920</v>
      </c>
      <c r="V492" s="105">
        <f>3*O492</f>
        <v>276</v>
      </c>
      <c r="W492" s="105">
        <f>U492</f>
        <v>920</v>
      </c>
      <c r="X492" s="105">
        <f>T492</f>
        <v>368</v>
      </c>
      <c r="Y492" s="105">
        <f t="shared" ref="Y492:AC493" si="26">W492</f>
        <v>920</v>
      </c>
      <c r="Z492" s="105">
        <f t="shared" si="26"/>
        <v>368</v>
      </c>
      <c r="AA492" s="105">
        <f t="shared" si="26"/>
        <v>920</v>
      </c>
      <c r="AB492" s="105">
        <f t="shared" si="26"/>
        <v>368</v>
      </c>
      <c r="AC492" s="108">
        <f t="shared" si="26"/>
        <v>920</v>
      </c>
      <c r="AD492" s="106"/>
      <c r="AE492" s="106"/>
      <c r="AF492" s="106"/>
      <c r="AG492" s="106"/>
      <c r="AH492" s="106"/>
      <c r="AI492" s="106"/>
      <c r="AJ492" s="106"/>
      <c r="AK492" s="106"/>
      <c r="AL492" s="106"/>
      <c r="AM492" s="106"/>
      <c r="AN492" s="106"/>
      <c r="AO492" s="106"/>
      <c r="AP492" s="106"/>
      <c r="AQ492" s="106"/>
      <c r="AR492" s="106"/>
      <c r="AS492" s="106"/>
      <c r="AT492" s="106"/>
      <c r="AU492" s="106"/>
      <c r="AV492" s="106"/>
      <c r="AW492" s="106"/>
      <c r="AX492" s="106"/>
      <c r="AY492" s="106"/>
      <c r="AZ492" s="106"/>
      <c r="BA492" s="106"/>
      <c r="BB492" s="106"/>
      <c r="BC492" s="106"/>
      <c r="BD492" s="106"/>
      <c r="BE492" s="106"/>
      <c r="BF492" s="106"/>
      <c r="BG492" s="106"/>
      <c r="BH492" s="106"/>
      <c r="BI492" s="106"/>
      <c r="BJ492" s="106"/>
      <c r="BK492" s="106"/>
      <c r="BL492" s="106"/>
      <c r="BM492" s="106"/>
      <c r="BN492" s="106"/>
      <c r="BO492" s="106"/>
      <c r="BP492" s="106"/>
      <c r="BQ492" s="106"/>
      <c r="BR492" s="106"/>
      <c r="BS492" s="106"/>
      <c r="BT492" s="106"/>
      <c r="BU492" s="106"/>
      <c r="BV492" s="106"/>
      <c r="BW492" s="106"/>
      <c r="BX492" s="106"/>
      <c r="BY492" s="106"/>
      <c r="BZ492" s="106"/>
      <c r="CA492" s="106"/>
      <c r="CB492" s="106"/>
      <c r="CC492" s="106"/>
      <c r="CD492" s="106"/>
      <c r="CE492" s="106"/>
      <c r="CF492" s="106"/>
      <c r="CG492" s="106"/>
      <c r="CH492" s="106"/>
      <c r="CI492" s="106"/>
      <c r="CJ492" s="106"/>
      <c r="CK492" s="106"/>
      <c r="CL492" s="106"/>
      <c r="CM492" s="106"/>
      <c r="CN492" s="106"/>
      <c r="CO492" s="106"/>
      <c r="CP492" s="106"/>
      <c r="CQ492" s="106"/>
      <c r="CR492" s="106"/>
      <c r="CS492" s="106"/>
      <c r="CT492" s="106"/>
      <c r="CU492" s="106"/>
      <c r="CV492" s="106"/>
      <c r="CW492" s="106"/>
      <c r="CX492" s="106"/>
      <c r="CY492" s="106"/>
      <c r="CZ492" s="106"/>
      <c r="DA492" s="106"/>
      <c r="DB492" s="106"/>
      <c r="DC492" s="106"/>
      <c r="DD492" s="106"/>
      <c r="DE492" s="106"/>
      <c r="DF492" s="106"/>
      <c r="DG492" s="106"/>
      <c r="DH492" s="106"/>
      <c r="DI492" s="106"/>
      <c r="DJ492" s="106"/>
      <c r="DK492" s="106"/>
      <c r="DL492" s="106"/>
      <c r="DM492" s="106"/>
      <c r="DN492" s="106"/>
      <c r="DO492" s="106"/>
      <c r="DP492" s="106"/>
      <c r="DQ492" s="106"/>
      <c r="DR492" s="106"/>
      <c r="DS492" s="106"/>
      <c r="DT492" s="106"/>
      <c r="DU492" s="106"/>
      <c r="DV492" s="106"/>
      <c r="DW492" s="106"/>
      <c r="DX492" s="106"/>
      <c r="DY492" s="106"/>
      <c r="DZ492" s="106"/>
      <c r="EA492" s="106"/>
      <c r="EB492" s="106"/>
      <c r="EC492" s="106"/>
      <c r="ED492" s="106"/>
      <c r="EE492" s="106"/>
      <c r="EF492" s="106"/>
      <c r="EG492" s="106"/>
      <c r="EH492" s="106"/>
      <c r="EI492" s="106"/>
      <c r="EJ492" s="106"/>
      <c r="EK492" s="106"/>
      <c r="EL492" s="106"/>
      <c r="EM492" s="106"/>
      <c r="EN492" s="106"/>
      <c r="EO492" s="106"/>
      <c r="EP492" s="106"/>
      <c r="EQ492" s="106"/>
      <c r="ER492" s="106"/>
      <c r="ES492" s="106"/>
      <c r="ET492" s="106"/>
      <c r="EU492" s="106"/>
      <c r="EV492" s="106"/>
      <c r="EW492" s="106"/>
      <c r="EX492" s="106"/>
      <c r="EY492" s="106"/>
      <c r="EZ492" s="106"/>
      <c r="FA492" s="106"/>
      <c r="FB492" s="106"/>
      <c r="FC492" s="106"/>
      <c r="FD492" s="106"/>
      <c r="FE492" s="106"/>
      <c r="FF492" s="106"/>
      <c r="FG492" s="106"/>
      <c r="FH492" s="106"/>
      <c r="FI492" s="106"/>
      <c r="FJ492" s="106"/>
      <c r="FK492" s="106"/>
      <c r="FL492" s="106"/>
      <c r="FM492" s="106"/>
      <c r="FN492" s="106"/>
      <c r="FO492" s="106"/>
      <c r="FP492" s="106"/>
      <c r="FQ492" s="106"/>
      <c r="FR492" s="106"/>
      <c r="FS492" s="106"/>
      <c r="FT492" s="106"/>
      <c r="FU492" s="106"/>
      <c r="FV492" s="106"/>
      <c r="FW492" s="106"/>
      <c r="FX492" s="106"/>
      <c r="FY492" s="106"/>
      <c r="FZ492" s="106"/>
      <c r="GA492" s="106"/>
      <c r="GB492" s="106"/>
      <c r="GC492" s="106"/>
      <c r="GD492" s="106"/>
      <c r="GE492" s="106"/>
      <c r="GF492" s="106"/>
      <c r="GG492" s="106"/>
      <c r="GH492" s="106"/>
      <c r="GI492" s="106"/>
      <c r="GJ492" s="106"/>
      <c r="GK492" s="106"/>
      <c r="GL492" s="106"/>
      <c r="GM492" s="106"/>
      <c r="GN492" s="106"/>
      <c r="GO492" s="106"/>
      <c r="GP492" s="106"/>
      <c r="GQ492" s="106"/>
      <c r="GR492" s="106"/>
      <c r="GS492" s="106"/>
      <c r="GT492" s="106"/>
      <c r="GU492" s="106"/>
      <c r="GV492" s="106"/>
      <c r="GW492" s="106"/>
      <c r="GX492" s="106"/>
      <c r="GY492" s="106"/>
      <c r="GZ492" s="106"/>
      <c r="HA492" s="106"/>
      <c r="HB492" s="106"/>
      <c r="HC492" s="106"/>
      <c r="HD492" s="106"/>
      <c r="HE492" s="106"/>
      <c r="HF492" s="106"/>
      <c r="HG492" s="106"/>
      <c r="HH492" s="106"/>
      <c r="HI492" s="106"/>
      <c r="HJ492" s="106"/>
      <c r="HK492" s="106"/>
      <c r="HL492" s="106"/>
      <c r="HM492" s="106"/>
      <c r="HN492" s="106"/>
      <c r="HO492" s="106"/>
      <c r="HP492" s="106"/>
      <c r="HQ492" s="106"/>
      <c r="HR492" s="106"/>
      <c r="HS492" s="106"/>
      <c r="HT492" s="106"/>
      <c r="HU492" s="106"/>
      <c r="HV492" s="106"/>
      <c r="HW492" s="106"/>
      <c r="HX492" s="106"/>
      <c r="HY492" s="106"/>
      <c r="HZ492" s="106"/>
      <c r="IA492" s="106"/>
      <c r="IB492" s="106"/>
      <c r="IC492" s="106"/>
      <c r="ID492" s="106"/>
      <c r="IE492" s="106"/>
      <c r="IF492" s="106"/>
      <c r="IG492" s="106"/>
      <c r="IH492" s="106"/>
      <c r="II492" s="106"/>
      <c r="IJ492" s="106"/>
      <c r="IK492" s="106"/>
      <c r="IL492" s="106"/>
      <c r="IM492" s="106"/>
      <c r="IN492" s="106"/>
      <c r="IO492" s="106"/>
      <c r="IP492" s="106"/>
      <c r="IQ492" s="106"/>
      <c r="IR492" s="106"/>
      <c r="IS492" s="106"/>
      <c r="IT492" s="106"/>
      <c r="IU492" s="106"/>
      <c r="IV492" s="106"/>
      <c r="IW492" s="106"/>
      <c r="IX492" s="106"/>
      <c r="IY492" s="106"/>
      <c r="IZ492" s="106"/>
      <c r="JA492" s="106"/>
      <c r="JB492" s="106"/>
      <c r="JC492" s="106"/>
      <c r="JD492" s="106"/>
      <c r="JE492" s="106"/>
      <c r="JF492" s="106"/>
      <c r="JG492" s="106"/>
      <c r="JH492" s="106"/>
      <c r="JI492" s="106"/>
      <c r="JJ492" s="106"/>
      <c r="JK492" s="106"/>
      <c r="JL492" s="106"/>
      <c r="JM492" s="106"/>
      <c r="JN492" s="106"/>
      <c r="JO492" s="106"/>
      <c r="JP492" s="106"/>
      <c r="JQ492" s="106"/>
      <c r="JR492" s="106"/>
      <c r="JS492" s="106"/>
      <c r="JT492" s="106"/>
      <c r="JU492" s="106"/>
      <c r="JV492" s="106"/>
      <c r="JW492" s="106"/>
      <c r="JX492" s="106"/>
      <c r="JY492" s="106"/>
      <c r="JZ492" s="106"/>
      <c r="KA492" s="106"/>
      <c r="KB492" s="106"/>
      <c r="KC492" s="106"/>
      <c r="KD492" s="106"/>
      <c r="KE492" s="106"/>
      <c r="KF492" s="106"/>
      <c r="KG492" s="106"/>
      <c r="KH492" s="106"/>
      <c r="KI492" s="106"/>
      <c r="KJ492" s="106"/>
      <c r="KK492" s="106"/>
      <c r="KL492" s="106"/>
      <c r="KM492" s="106"/>
      <c r="KN492" s="106"/>
      <c r="KO492" s="106"/>
      <c r="KP492" s="106"/>
      <c r="KQ492" s="106"/>
      <c r="KR492" s="106"/>
      <c r="KS492" s="106"/>
      <c r="KT492" s="106"/>
      <c r="KU492" s="106"/>
      <c r="KV492" s="106"/>
      <c r="KW492" s="106"/>
      <c r="KX492" s="106"/>
      <c r="KY492" s="106"/>
      <c r="KZ492" s="106"/>
      <c r="LA492" s="106"/>
      <c r="LB492" s="106"/>
      <c r="LC492" s="106"/>
      <c r="LD492" s="106"/>
      <c r="LE492" s="106"/>
      <c r="LF492" s="106"/>
      <c r="LG492" s="106"/>
      <c r="LH492" s="106"/>
      <c r="LI492" s="106"/>
      <c r="LJ492" s="106"/>
      <c r="LK492" s="106"/>
      <c r="LL492" s="106"/>
      <c r="LM492" s="106"/>
      <c r="LN492" s="106"/>
      <c r="LO492" s="106"/>
      <c r="LP492" s="106"/>
      <c r="LQ492" s="106"/>
      <c r="LR492" s="106"/>
      <c r="LS492" s="106"/>
      <c r="LT492" s="106"/>
      <c r="LU492" s="106"/>
      <c r="LV492" s="106"/>
      <c r="LW492" s="106"/>
      <c r="LX492" s="106"/>
      <c r="LY492" s="106"/>
      <c r="LZ492" s="106"/>
      <c r="MA492" s="106"/>
      <c r="MB492" s="106"/>
      <c r="MC492" s="106"/>
      <c r="MD492" s="106"/>
      <c r="ME492" s="106"/>
      <c r="MF492" s="106"/>
      <c r="MG492" s="106"/>
      <c r="MH492" s="106"/>
      <c r="MI492" s="106"/>
      <c r="MJ492" s="106"/>
      <c r="MK492" s="106"/>
      <c r="ML492" s="106"/>
      <c r="MM492" s="106"/>
      <c r="MN492" s="106"/>
      <c r="MO492" s="106"/>
      <c r="MP492" s="106"/>
      <c r="MQ492" s="106"/>
      <c r="MR492" s="106"/>
      <c r="MS492" s="106"/>
      <c r="MT492" s="106"/>
      <c r="MU492" s="106"/>
      <c r="MV492" s="106"/>
      <c r="MW492" s="106"/>
      <c r="MX492" s="106"/>
      <c r="MY492" s="106"/>
      <c r="MZ492" s="106"/>
      <c r="NA492" s="106"/>
      <c r="NB492" s="106"/>
      <c r="NC492" s="106"/>
      <c r="ND492" s="106"/>
      <c r="NE492" s="106"/>
      <c r="NF492" s="106"/>
      <c r="NG492" s="106"/>
      <c r="NH492" s="106"/>
      <c r="NI492" s="106"/>
      <c r="NJ492" s="106"/>
      <c r="NK492" s="106"/>
      <c r="NL492" s="106"/>
      <c r="NM492" s="106"/>
      <c r="NN492" s="106"/>
      <c r="NO492" s="106"/>
      <c r="NP492" s="106"/>
      <c r="NQ492" s="106"/>
      <c r="NR492" s="106"/>
      <c r="NS492" s="106"/>
      <c r="NT492" s="106"/>
      <c r="NU492" s="106"/>
      <c r="NV492" s="106"/>
      <c r="NW492" s="106"/>
      <c r="NX492" s="106"/>
      <c r="NY492" s="106"/>
      <c r="NZ492" s="106"/>
      <c r="OA492" s="106"/>
      <c r="OB492" s="106"/>
      <c r="OC492" s="106"/>
      <c r="OD492" s="106"/>
      <c r="OE492" s="106"/>
      <c r="OF492" s="106"/>
      <c r="OG492" s="106"/>
      <c r="OH492" s="106"/>
      <c r="OI492" s="106"/>
      <c r="OJ492" s="106"/>
      <c r="OK492" s="106"/>
      <c r="OL492" s="106"/>
      <c r="OM492" s="106"/>
      <c r="ON492" s="106"/>
      <c r="OO492" s="106"/>
      <c r="OP492" s="106"/>
      <c r="OQ492" s="106"/>
      <c r="OR492" s="106"/>
      <c r="OS492" s="106"/>
      <c r="OT492" s="106"/>
      <c r="OU492" s="106"/>
      <c r="OV492" s="106"/>
      <c r="OW492" s="106"/>
      <c r="OX492" s="106"/>
      <c r="OY492" s="106"/>
      <c r="OZ492" s="106"/>
      <c r="PA492" s="106"/>
      <c r="PB492" s="106"/>
      <c r="PC492" s="106"/>
      <c r="PD492" s="106"/>
      <c r="PE492" s="106"/>
      <c r="PF492" s="106"/>
      <c r="PG492" s="106"/>
      <c r="PH492" s="106"/>
      <c r="PI492" s="106"/>
      <c r="PJ492" s="106"/>
      <c r="PK492" s="106"/>
      <c r="PL492" s="106"/>
      <c r="PM492" s="106"/>
      <c r="PN492" s="106"/>
      <c r="PO492" s="106"/>
      <c r="PP492" s="106"/>
      <c r="PQ492" s="106"/>
      <c r="PR492" s="106"/>
      <c r="PS492" s="106"/>
      <c r="PT492" s="106"/>
      <c r="PU492" s="106"/>
      <c r="PV492" s="106"/>
      <c r="PW492" s="106"/>
      <c r="PX492" s="106"/>
      <c r="PY492" s="106"/>
      <c r="PZ492" s="106"/>
      <c r="QA492" s="106"/>
      <c r="QB492" s="106"/>
      <c r="QC492" s="106"/>
      <c r="QD492" s="106"/>
      <c r="QE492" s="106"/>
      <c r="QF492" s="106"/>
      <c r="QG492" s="106"/>
      <c r="QH492" s="106"/>
      <c r="QI492" s="106"/>
      <c r="QJ492" s="106"/>
      <c r="QK492" s="106"/>
      <c r="QL492" s="106"/>
      <c r="QM492" s="106"/>
      <c r="QN492" s="106"/>
      <c r="QO492" s="106"/>
      <c r="QP492" s="106"/>
      <c r="QQ492" s="106"/>
      <c r="QR492" s="106"/>
      <c r="QS492" s="106"/>
      <c r="QT492" s="106"/>
      <c r="QU492" s="106"/>
      <c r="QV492" s="106"/>
      <c r="QW492" s="106"/>
      <c r="QX492" s="106"/>
      <c r="QY492" s="106"/>
      <c r="QZ492" s="106"/>
      <c r="RA492" s="106"/>
      <c r="RB492" s="106"/>
      <c r="RC492" s="106"/>
      <c r="RD492" s="106"/>
      <c r="RE492" s="106"/>
      <c r="RF492" s="106"/>
      <c r="RG492" s="106"/>
      <c r="RH492" s="106"/>
      <c r="RI492" s="106"/>
      <c r="RJ492" s="106"/>
      <c r="RK492" s="106"/>
      <c r="RL492" s="106"/>
      <c r="RM492" s="106"/>
      <c r="RN492" s="106"/>
      <c r="RO492" s="106"/>
      <c r="RP492" s="106"/>
      <c r="RQ492" s="106"/>
      <c r="RR492" s="106"/>
      <c r="RS492" s="106"/>
      <c r="RT492" s="106"/>
      <c r="RU492" s="106"/>
      <c r="RV492" s="106"/>
      <c r="RW492" s="106"/>
      <c r="RX492" s="106"/>
      <c r="RY492" s="106"/>
      <c r="RZ492" s="106"/>
      <c r="SA492" s="106"/>
      <c r="SB492" s="106"/>
      <c r="SC492" s="106"/>
      <c r="SD492" s="106"/>
      <c r="SE492" s="106"/>
      <c r="SF492" s="106"/>
      <c r="SG492" s="106"/>
      <c r="SH492" s="106"/>
      <c r="SI492" s="106"/>
      <c r="SJ492" s="106"/>
      <c r="SK492" s="106"/>
      <c r="SL492" s="106"/>
      <c r="SM492" s="106"/>
      <c r="SN492" s="106"/>
      <c r="SO492" s="106"/>
      <c r="SP492" s="106"/>
      <c r="SQ492" s="106"/>
      <c r="SR492" s="106"/>
      <c r="SS492" s="106"/>
      <c r="ST492" s="106"/>
      <c r="SU492" s="106"/>
      <c r="SV492" s="106"/>
      <c r="SW492" s="106"/>
      <c r="SX492" s="106"/>
      <c r="SY492" s="106"/>
      <c r="SZ492" s="106"/>
      <c r="TA492" s="106"/>
      <c r="TB492" s="106"/>
      <c r="TC492" s="106"/>
      <c r="TD492" s="106"/>
      <c r="TE492" s="106"/>
      <c r="TF492" s="106"/>
      <c r="TG492" s="106"/>
      <c r="TH492" s="106"/>
      <c r="TI492" s="106"/>
      <c r="TJ492" s="106"/>
      <c r="TK492" s="106"/>
      <c r="TL492" s="106"/>
      <c r="TM492" s="106"/>
      <c r="TN492" s="106"/>
      <c r="TO492" s="106"/>
      <c r="TP492" s="106"/>
      <c r="TQ492" s="106"/>
      <c r="TR492" s="106"/>
      <c r="TS492" s="106"/>
      <c r="TT492" s="106"/>
      <c r="TU492" s="106"/>
      <c r="TV492" s="106"/>
      <c r="TW492" s="106"/>
      <c r="TX492" s="106"/>
      <c r="TY492" s="106"/>
      <c r="TZ492" s="106"/>
      <c r="UA492" s="106"/>
      <c r="UB492" s="106"/>
      <c r="UC492" s="106"/>
      <c r="UD492" s="106"/>
      <c r="UE492" s="106"/>
      <c r="UF492" s="106"/>
      <c r="UG492" s="106"/>
      <c r="UH492" s="106"/>
      <c r="UI492" s="106"/>
      <c r="UJ492" s="106"/>
      <c r="UK492" s="106"/>
      <c r="UL492" s="106"/>
      <c r="UM492" s="106"/>
      <c r="UN492" s="106"/>
      <c r="UO492" s="106"/>
      <c r="UP492" s="106"/>
      <c r="UQ492" s="106"/>
      <c r="UR492" s="106"/>
      <c r="US492" s="106"/>
      <c r="UT492" s="106"/>
      <c r="UU492" s="106"/>
      <c r="UV492" s="106"/>
      <c r="UW492" s="106"/>
      <c r="UX492" s="106"/>
      <c r="UY492" s="106"/>
      <c r="UZ492" s="106"/>
      <c r="VA492" s="106"/>
      <c r="VB492" s="106"/>
      <c r="VC492" s="106"/>
      <c r="VD492" s="106"/>
      <c r="VE492" s="106"/>
      <c r="VF492" s="106"/>
      <c r="VG492" s="106"/>
      <c r="VH492" s="106"/>
      <c r="VI492" s="106"/>
      <c r="VJ492" s="106"/>
      <c r="VK492" s="106"/>
      <c r="VL492" s="106"/>
      <c r="VM492" s="106"/>
      <c r="VN492" s="106"/>
      <c r="VO492" s="106"/>
      <c r="VP492" s="106"/>
      <c r="VQ492" s="106"/>
      <c r="VR492" s="106"/>
      <c r="VS492" s="106"/>
      <c r="VT492" s="106"/>
      <c r="VU492" s="106"/>
      <c r="VV492" s="106"/>
      <c r="VW492" s="106"/>
      <c r="VX492" s="106"/>
      <c r="VY492" s="106"/>
      <c r="VZ492" s="106"/>
      <c r="WA492" s="106"/>
      <c r="WB492" s="106"/>
      <c r="WC492" s="106"/>
      <c r="WD492" s="106"/>
      <c r="WE492" s="106"/>
      <c r="WF492" s="106"/>
      <c r="WG492" s="106"/>
      <c r="WH492" s="106"/>
      <c r="WI492" s="106"/>
      <c r="WJ492" s="106"/>
      <c r="WK492" s="106"/>
      <c r="WL492" s="106"/>
      <c r="WM492" s="106"/>
      <c r="WN492" s="106"/>
      <c r="WO492" s="106"/>
      <c r="WP492" s="106"/>
      <c r="WQ492" s="106"/>
      <c r="WR492" s="106"/>
      <c r="WS492" s="106"/>
      <c r="WT492" s="106"/>
      <c r="WU492" s="106"/>
      <c r="WV492" s="106"/>
      <c r="WW492" s="106"/>
      <c r="WX492" s="106"/>
      <c r="WY492" s="106"/>
      <c r="WZ492" s="106"/>
      <c r="XA492" s="106"/>
      <c r="XB492" s="106"/>
      <c r="XC492" s="106"/>
      <c r="XD492" s="106"/>
      <c r="XE492" s="106"/>
      <c r="XF492" s="106"/>
      <c r="XG492" s="106"/>
      <c r="XH492" s="106"/>
      <c r="XI492" s="106"/>
      <c r="XJ492" s="106"/>
      <c r="XK492" s="106"/>
      <c r="XL492" s="106"/>
      <c r="XM492" s="106"/>
      <c r="XN492" s="106"/>
      <c r="XO492" s="106"/>
      <c r="XP492" s="106"/>
      <c r="XQ492" s="106"/>
      <c r="XR492" s="106"/>
      <c r="XS492" s="106"/>
      <c r="XT492" s="106"/>
      <c r="XU492" s="106"/>
      <c r="XV492" s="106"/>
      <c r="XW492" s="106"/>
      <c r="XX492" s="106"/>
      <c r="XY492" s="106"/>
      <c r="XZ492" s="106"/>
      <c r="YA492" s="106"/>
      <c r="YB492" s="106"/>
      <c r="YC492" s="106"/>
      <c r="YD492" s="106"/>
      <c r="YE492" s="106"/>
      <c r="YF492" s="106"/>
      <c r="YG492" s="106"/>
      <c r="YH492" s="106"/>
      <c r="YI492" s="106"/>
      <c r="YJ492" s="106"/>
      <c r="YK492" s="106"/>
      <c r="YL492" s="106"/>
      <c r="YM492" s="106"/>
      <c r="YN492" s="106"/>
      <c r="YO492" s="106"/>
      <c r="YP492" s="106"/>
      <c r="YQ492" s="106"/>
      <c r="YR492" s="106"/>
      <c r="YS492" s="106"/>
      <c r="YT492" s="106"/>
      <c r="YU492" s="106"/>
      <c r="YV492" s="106"/>
      <c r="YW492" s="106"/>
      <c r="YX492" s="106"/>
      <c r="YY492" s="106"/>
      <c r="YZ492" s="106"/>
      <c r="ZA492" s="106"/>
      <c r="ZB492" s="106"/>
      <c r="ZC492" s="106"/>
      <c r="ZD492" s="106"/>
      <c r="ZE492" s="106"/>
      <c r="ZF492" s="106"/>
      <c r="ZG492" s="106"/>
      <c r="ZH492" s="106"/>
      <c r="ZI492" s="106"/>
      <c r="ZJ492" s="106"/>
      <c r="ZK492" s="106"/>
      <c r="ZL492" s="106"/>
      <c r="ZM492" s="106"/>
      <c r="ZN492" s="106"/>
      <c r="ZO492" s="106"/>
      <c r="ZP492" s="106"/>
      <c r="ZQ492" s="106"/>
      <c r="ZR492" s="106"/>
      <c r="ZS492" s="106"/>
      <c r="ZT492" s="106"/>
      <c r="ZU492" s="106"/>
      <c r="ZV492" s="106"/>
      <c r="ZW492" s="106"/>
      <c r="ZX492" s="106"/>
      <c r="ZY492" s="106"/>
      <c r="ZZ492" s="106"/>
      <c r="AAA492" s="106"/>
      <c r="AAB492" s="106"/>
      <c r="AAC492" s="106"/>
      <c r="AAD492" s="106"/>
      <c r="AAE492" s="106"/>
      <c r="AAF492" s="106"/>
      <c r="AAG492" s="106"/>
      <c r="AAH492" s="106"/>
      <c r="AAI492" s="106"/>
      <c r="AAJ492" s="106"/>
      <c r="AAK492" s="106"/>
      <c r="AAL492" s="106"/>
      <c r="AAM492" s="106"/>
      <c r="AAN492" s="106"/>
      <c r="AAO492" s="106"/>
      <c r="AAP492" s="106"/>
      <c r="AAQ492" s="106"/>
      <c r="AAR492" s="106"/>
      <c r="AAS492" s="106"/>
      <c r="AAT492" s="106"/>
      <c r="AAU492" s="106"/>
      <c r="AAV492" s="106"/>
      <c r="AAW492" s="106"/>
      <c r="AAX492" s="106"/>
      <c r="AAY492" s="106"/>
      <c r="AAZ492" s="106"/>
      <c r="ABA492" s="106"/>
      <c r="ABB492" s="106"/>
      <c r="ABC492" s="106"/>
      <c r="ABD492" s="106"/>
      <c r="ABE492" s="106"/>
      <c r="ABF492" s="106"/>
      <c r="ABG492" s="106"/>
      <c r="ABH492" s="106"/>
      <c r="ABI492" s="106"/>
      <c r="ABJ492" s="106"/>
      <c r="ABK492" s="106"/>
      <c r="ABL492" s="106"/>
      <c r="ABM492" s="106"/>
      <c r="ABN492" s="106"/>
      <c r="ABO492" s="106"/>
      <c r="ABP492" s="106"/>
      <c r="ABQ492" s="106"/>
      <c r="ABR492" s="106"/>
      <c r="ABS492" s="106"/>
      <c r="ABT492" s="106"/>
      <c r="ABU492" s="106"/>
      <c r="ABV492" s="106"/>
      <c r="ABW492" s="106"/>
      <c r="ABX492" s="106"/>
      <c r="ABY492" s="106"/>
      <c r="ABZ492" s="106"/>
      <c r="ACA492" s="106"/>
      <c r="ACB492" s="106"/>
      <c r="ACC492" s="106"/>
      <c r="ACD492" s="106"/>
      <c r="ACE492" s="106"/>
      <c r="ACF492" s="106"/>
      <c r="ACG492" s="106"/>
      <c r="ACH492" s="106"/>
      <c r="ACI492" s="106"/>
      <c r="ACJ492" s="106"/>
      <c r="ACK492" s="106"/>
      <c r="ACL492" s="106"/>
      <c r="ACM492" s="106"/>
      <c r="ACN492" s="106"/>
      <c r="ACO492" s="106"/>
      <c r="ACP492" s="106"/>
      <c r="ACQ492" s="106"/>
      <c r="ACR492" s="106"/>
      <c r="ACS492" s="106"/>
      <c r="ACT492" s="106"/>
      <c r="ACU492" s="106"/>
      <c r="ACV492" s="106"/>
      <c r="ACW492" s="106"/>
      <c r="ACX492" s="106"/>
      <c r="ACY492" s="106"/>
      <c r="ACZ492" s="106"/>
      <c r="ADA492" s="106"/>
      <c r="ADB492" s="106"/>
      <c r="ADC492" s="106"/>
      <c r="ADD492" s="106"/>
      <c r="ADE492" s="106"/>
      <c r="ADF492" s="106"/>
      <c r="ADG492" s="106"/>
      <c r="ADH492" s="106"/>
      <c r="ADI492" s="106"/>
      <c r="ADJ492" s="106"/>
      <c r="ADK492" s="106"/>
      <c r="ADL492" s="106"/>
      <c r="ADM492" s="106"/>
      <c r="ADN492" s="106"/>
      <c r="ADO492" s="106"/>
      <c r="ADP492" s="106"/>
      <c r="ADQ492" s="106"/>
      <c r="ADR492" s="106"/>
      <c r="ADS492" s="106"/>
      <c r="ADT492" s="106"/>
      <c r="ADU492" s="106"/>
      <c r="ADV492" s="106"/>
      <c r="ADW492" s="106"/>
      <c r="ADX492" s="106"/>
      <c r="ADY492" s="106"/>
      <c r="ADZ492" s="106"/>
      <c r="AEA492" s="106"/>
      <c r="AEB492" s="106"/>
      <c r="AEC492" s="106"/>
      <c r="AED492" s="106"/>
      <c r="AEE492" s="106"/>
      <c r="AEF492" s="106"/>
      <c r="AEG492" s="106"/>
      <c r="AEH492" s="106"/>
      <c r="AEI492" s="106"/>
      <c r="AEJ492" s="106"/>
      <c r="AEK492" s="106"/>
      <c r="AEL492" s="106"/>
      <c r="AEM492" s="106"/>
      <c r="AEN492" s="106"/>
      <c r="AEO492" s="106"/>
      <c r="AEP492" s="106"/>
      <c r="AEQ492" s="106"/>
      <c r="AER492" s="106"/>
      <c r="AES492" s="106"/>
      <c r="AET492" s="106"/>
      <c r="AEU492" s="106"/>
      <c r="AEV492" s="106"/>
      <c r="AEW492" s="106"/>
      <c r="AEX492" s="106"/>
      <c r="AEY492" s="106"/>
      <c r="AEZ492" s="106"/>
      <c r="AFA492" s="106"/>
      <c r="AFB492" s="106"/>
      <c r="AFC492" s="106"/>
      <c r="AFD492" s="106"/>
      <c r="AFE492" s="106"/>
      <c r="AFF492" s="106"/>
      <c r="AFG492" s="106"/>
      <c r="AFH492" s="106"/>
      <c r="AFI492" s="106"/>
      <c r="AFJ492" s="106"/>
      <c r="AFK492" s="106"/>
      <c r="AFL492" s="106"/>
      <c r="AFM492" s="106"/>
      <c r="AFN492" s="106"/>
      <c r="AFO492" s="106"/>
      <c r="AFP492" s="106"/>
      <c r="AFQ492" s="106"/>
      <c r="AFR492" s="106"/>
      <c r="AFS492" s="106"/>
      <c r="AFT492" s="106"/>
      <c r="AFU492" s="106"/>
      <c r="AFV492" s="106"/>
      <c r="AFW492" s="106"/>
      <c r="AFX492" s="106"/>
      <c r="AFY492" s="106"/>
      <c r="AFZ492" s="106"/>
      <c r="AGA492" s="106"/>
      <c r="AGB492" s="106"/>
      <c r="AGC492" s="106"/>
      <c r="AGD492" s="106"/>
      <c r="AGE492" s="106"/>
      <c r="AGF492" s="106"/>
      <c r="AGG492" s="106"/>
      <c r="AGH492" s="106"/>
      <c r="AGI492" s="106"/>
      <c r="AGJ492" s="106"/>
      <c r="AGK492" s="106"/>
      <c r="AGL492" s="106"/>
      <c r="AGM492" s="106"/>
      <c r="AGN492" s="106"/>
      <c r="AGO492" s="106"/>
      <c r="AGP492" s="106"/>
      <c r="AGQ492" s="106"/>
      <c r="AGR492" s="106"/>
      <c r="AGS492" s="106"/>
      <c r="AGT492" s="106"/>
      <c r="AGU492" s="106"/>
      <c r="AGV492" s="106"/>
      <c r="AGW492" s="106"/>
      <c r="AGX492" s="106"/>
      <c r="AGY492" s="106"/>
      <c r="AGZ492" s="106"/>
      <c r="AHA492" s="106"/>
      <c r="AHB492" s="106"/>
      <c r="AHC492" s="106"/>
      <c r="AHD492" s="106"/>
      <c r="AHE492" s="106"/>
      <c r="AHF492" s="106"/>
      <c r="AHG492" s="106"/>
      <c r="AHH492" s="106"/>
      <c r="AHI492" s="106"/>
      <c r="AHJ492" s="106"/>
      <c r="AHK492" s="106"/>
      <c r="AHL492" s="106"/>
      <c r="AHM492" s="106"/>
      <c r="AHN492" s="106"/>
      <c r="AHO492" s="106"/>
      <c r="AHP492" s="106"/>
      <c r="AHQ492" s="106"/>
      <c r="AHR492" s="106"/>
      <c r="AHS492" s="106"/>
      <c r="AHT492" s="106"/>
      <c r="AHU492" s="106"/>
      <c r="AHV492" s="106"/>
      <c r="AHW492" s="106"/>
      <c r="AHX492" s="106"/>
      <c r="AHY492" s="106"/>
      <c r="AHZ492" s="106"/>
      <c r="AIA492" s="106"/>
      <c r="AIB492" s="106"/>
      <c r="AIC492" s="106"/>
      <c r="AID492" s="106"/>
      <c r="AIE492" s="106"/>
      <c r="AIF492" s="106"/>
      <c r="AIG492" s="106"/>
      <c r="AIH492" s="106"/>
      <c r="AII492" s="106"/>
      <c r="AIJ492" s="106"/>
      <c r="AIK492" s="106"/>
      <c r="AIL492" s="106"/>
      <c r="AIM492" s="106"/>
      <c r="AIN492" s="106"/>
      <c r="AIO492" s="106"/>
      <c r="AIP492" s="106"/>
      <c r="AIQ492" s="106"/>
      <c r="AIR492" s="106"/>
      <c r="AIS492" s="106"/>
      <c r="AIT492" s="106"/>
      <c r="AIU492" s="106"/>
      <c r="AIV492" s="106"/>
      <c r="AIW492" s="106"/>
      <c r="AIX492" s="106"/>
      <c r="AIY492" s="106"/>
      <c r="AIZ492" s="106"/>
      <c r="AJA492" s="106"/>
      <c r="AJB492" s="106"/>
      <c r="AJC492" s="106"/>
      <c r="AJD492" s="106"/>
      <c r="AJE492" s="106"/>
      <c r="AJF492" s="106"/>
      <c r="AJG492" s="106"/>
      <c r="AJH492" s="106"/>
      <c r="AJI492" s="106"/>
      <c r="AJJ492" s="106"/>
      <c r="AJK492" s="106"/>
      <c r="AJL492" s="106"/>
      <c r="AJM492" s="106"/>
      <c r="AJN492" s="106"/>
      <c r="AJO492" s="106"/>
      <c r="AJP492" s="106"/>
      <c r="AJQ492" s="106"/>
      <c r="AJR492" s="106"/>
      <c r="AJS492" s="106"/>
      <c r="AJT492" s="106"/>
      <c r="AJU492" s="106"/>
      <c r="AJV492" s="106"/>
      <c r="AJW492" s="106"/>
      <c r="AJX492" s="106"/>
      <c r="AJY492" s="106"/>
      <c r="AJZ492" s="106"/>
      <c r="AKA492" s="106"/>
      <c r="AKB492" s="106"/>
      <c r="AKC492" s="106"/>
      <c r="AKD492" s="106"/>
      <c r="AKE492" s="106"/>
      <c r="AKF492" s="106"/>
      <c r="AKG492" s="106"/>
      <c r="AKH492" s="106"/>
      <c r="AKI492" s="106"/>
      <c r="AKJ492" s="106"/>
      <c r="AKK492" s="106"/>
      <c r="AKL492" s="106"/>
      <c r="AKM492" s="106"/>
      <c r="AKN492" s="106"/>
      <c r="AKO492" s="106"/>
      <c r="AKP492" s="106"/>
      <c r="AKQ492" s="106"/>
      <c r="AKR492" s="106"/>
      <c r="AKS492" s="106"/>
      <c r="AKT492" s="106"/>
      <c r="AKU492" s="106"/>
      <c r="AKV492" s="106"/>
      <c r="AKW492" s="106"/>
      <c r="AKX492" s="106"/>
      <c r="AKY492" s="106"/>
      <c r="AKZ492" s="106"/>
      <c r="ALA492" s="106"/>
      <c r="ALB492" s="106"/>
      <c r="ALC492" s="106"/>
      <c r="ALD492" s="106"/>
      <c r="ALE492" s="106"/>
      <c r="ALF492" s="106"/>
      <c r="ALG492" s="106"/>
      <c r="ALH492" s="106"/>
      <c r="ALI492" s="106"/>
      <c r="ALJ492" s="106"/>
      <c r="ALK492" s="106"/>
      <c r="ALL492" s="106"/>
      <c r="ALM492" s="106"/>
      <c r="ALN492" s="106"/>
      <c r="ALO492" s="106"/>
      <c r="ALP492" s="106"/>
      <c r="ALQ492" s="106"/>
      <c r="ALR492" s="106"/>
      <c r="ALS492" s="106"/>
      <c r="ALT492" s="106"/>
      <c r="ALU492" s="106"/>
      <c r="ALV492" s="106"/>
      <c r="ALW492" s="106"/>
      <c r="ALX492" s="106"/>
      <c r="ALY492" s="106"/>
      <c r="ALZ492" s="106"/>
      <c r="AMA492" s="106"/>
      <c r="AMB492" s="106"/>
      <c r="AMC492" s="106"/>
      <c r="AMD492" s="106"/>
      <c r="AME492" s="106"/>
      <c r="AMF492" s="106"/>
      <c r="AMG492" s="106"/>
      <c r="AMH492" s="106"/>
      <c r="AMI492" s="106"/>
      <c r="AMJ492" s="106"/>
      <c r="AMK492" s="106"/>
      <c r="AML492" s="106"/>
      <c r="AMM492" s="106"/>
      <c r="AMN492" s="106"/>
      <c r="AMO492" s="106"/>
      <c r="AMP492" s="106"/>
      <c r="AMQ492" s="106"/>
      <c r="AMR492" s="106"/>
      <c r="AMS492" s="106"/>
      <c r="AMT492" s="106"/>
      <c r="AMU492" s="106"/>
      <c r="AMV492" s="106"/>
      <c r="AMW492" s="106"/>
      <c r="AMX492" s="106"/>
      <c r="AMY492" s="106"/>
      <c r="AMZ492" s="106"/>
      <c r="ANA492" s="106"/>
      <c r="ANB492" s="106"/>
      <c r="ANC492" s="106"/>
      <c r="AND492" s="106"/>
      <c r="ANE492" s="106"/>
      <c r="ANF492" s="106"/>
      <c r="ANG492" s="106"/>
      <c r="ANH492" s="106"/>
      <c r="ANI492" s="106"/>
      <c r="ANJ492" s="106"/>
      <c r="ANK492" s="106"/>
      <c r="ANL492" s="106"/>
      <c r="ANM492" s="106"/>
      <c r="ANN492" s="106"/>
      <c r="ANO492" s="106"/>
      <c r="ANP492" s="106"/>
      <c r="ANQ492" s="106"/>
      <c r="ANR492" s="106"/>
      <c r="ANS492" s="106"/>
      <c r="ANT492" s="106"/>
      <c r="ANU492" s="106"/>
      <c r="ANV492" s="106"/>
      <c r="ANW492" s="106"/>
      <c r="ANX492" s="106"/>
      <c r="ANY492" s="106"/>
      <c r="ANZ492" s="106"/>
      <c r="AOA492" s="106"/>
      <c r="AOB492" s="106"/>
      <c r="AOC492" s="106"/>
      <c r="AOD492" s="106"/>
      <c r="AOE492" s="106"/>
      <c r="AOF492" s="106"/>
      <c r="AOG492" s="106"/>
      <c r="AOH492" s="106"/>
      <c r="AOI492" s="106"/>
      <c r="AOJ492" s="106"/>
      <c r="AOK492" s="106"/>
      <c r="AOL492" s="106"/>
      <c r="AOM492" s="106"/>
      <c r="AON492" s="106"/>
      <c r="AOO492" s="106"/>
      <c r="AOP492" s="106"/>
      <c r="AOQ492" s="106"/>
      <c r="AOR492" s="106"/>
      <c r="AOS492" s="106"/>
      <c r="AOT492" s="106"/>
      <c r="AOU492" s="106"/>
      <c r="AOV492" s="106"/>
      <c r="AOW492" s="106"/>
      <c r="AOX492" s="106"/>
      <c r="AOY492" s="106"/>
      <c r="AOZ492" s="106"/>
      <c r="APA492" s="106"/>
      <c r="APB492" s="106"/>
      <c r="APC492" s="106"/>
      <c r="APD492" s="106"/>
      <c r="APE492" s="106"/>
      <c r="APF492" s="106"/>
      <c r="APG492" s="106"/>
      <c r="APH492" s="106"/>
      <c r="API492" s="106"/>
      <c r="APJ492" s="106"/>
      <c r="APK492" s="106"/>
      <c r="APL492" s="106"/>
      <c r="APM492" s="106"/>
      <c r="APN492" s="106"/>
      <c r="APO492" s="106"/>
      <c r="APP492" s="106"/>
      <c r="APQ492" s="106"/>
      <c r="APR492" s="106"/>
      <c r="APS492" s="106"/>
      <c r="APT492" s="106"/>
      <c r="APU492" s="106"/>
      <c r="APV492" s="106"/>
      <c r="APW492" s="106"/>
      <c r="APX492" s="106"/>
      <c r="APY492" s="106"/>
      <c r="APZ492" s="106"/>
      <c r="AQA492" s="106"/>
      <c r="AQB492" s="106"/>
      <c r="AQC492" s="106"/>
      <c r="AQD492" s="106"/>
      <c r="AQE492" s="106"/>
      <c r="AQF492" s="106"/>
      <c r="AQG492" s="106"/>
      <c r="AQH492" s="106"/>
      <c r="AQI492" s="106"/>
      <c r="AQJ492" s="106"/>
      <c r="AQK492" s="106"/>
      <c r="AQL492" s="106"/>
      <c r="AQM492" s="106"/>
      <c r="AQN492" s="106"/>
      <c r="AQO492" s="106"/>
      <c r="AQP492" s="106"/>
      <c r="AQQ492" s="106"/>
      <c r="AQR492" s="106"/>
      <c r="AQS492" s="106"/>
      <c r="AQT492" s="106"/>
      <c r="AQU492" s="106"/>
      <c r="AQV492" s="106"/>
      <c r="AQW492" s="106"/>
      <c r="AQX492" s="106"/>
      <c r="AQY492" s="106"/>
      <c r="AQZ492" s="106"/>
      <c r="ARA492" s="106"/>
      <c r="ARB492" s="106"/>
      <c r="ARC492" s="106"/>
      <c r="ARD492" s="106"/>
      <c r="ARE492" s="106"/>
      <c r="ARF492" s="106"/>
      <c r="ARG492" s="106"/>
      <c r="ARH492" s="106"/>
      <c r="ARI492" s="106"/>
      <c r="ARJ492" s="106"/>
      <c r="ARK492" s="106"/>
      <c r="ARL492" s="106"/>
      <c r="ARM492" s="106"/>
      <c r="ARN492" s="106"/>
      <c r="ARO492" s="106"/>
      <c r="ARP492" s="106"/>
      <c r="ARQ492" s="106"/>
      <c r="ARR492" s="106"/>
      <c r="ARS492" s="106"/>
      <c r="ART492" s="106"/>
      <c r="ARU492" s="106"/>
      <c r="ARV492" s="106"/>
      <c r="ARW492" s="106"/>
      <c r="ARX492" s="106"/>
      <c r="ARY492" s="106"/>
      <c r="ARZ492" s="106"/>
      <c r="ASA492" s="106"/>
      <c r="ASB492" s="106"/>
      <c r="ASC492" s="106"/>
      <c r="ASD492" s="106"/>
      <c r="ASE492" s="106"/>
      <c r="ASF492" s="106"/>
      <c r="ASG492" s="106"/>
      <c r="ASH492" s="106"/>
      <c r="ASI492" s="106"/>
      <c r="ASJ492" s="106"/>
      <c r="ASK492" s="106"/>
      <c r="ASL492" s="106"/>
      <c r="ASM492" s="106"/>
      <c r="ASN492" s="106"/>
      <c r="ASO492" s="106"/>
      <c r="ASP492" s="106"/>
      <c r="ASQ492" s="106"/>
      <c r="ASR492" s="106"/>
      <c r="ASS492" s="106"/>
      <c r="AST492" s="106"/>
      <c r="ASU492" s="106"/>
      <c r="ASV492" s="106"/>
      <c r="ASW492" s="106"/>
      <c r="ASX492" s="106"/>
      <c r="ASY492" s="106"/>
      <c r="ASZ492" s="106"/>
      <c r="ATA492" s="106"/>
      <c r="ATB492" s="106"/>
      <c r="ATC492" s="106"/>
      <c r="ATD492" s="106"/>
      <c r="ATE492" s="106"/>
      <c r="ATF492" s="106"/>
      <c r="ATG492" s="106"/>
      <c r="ATH492" s="106"/>
      <c r="ATI492" s="106"/>
      <c r="ATJ492" s="106"/>
      <c r="ATK492" s="106"/>
      <c r="ATL492" s="106"/>
      <c r="ATM492" s="106"/>
      <c r="ATN492" s="106"/>
      <c r="ATO492" s="106"/>
      <c r="ATP492" s="106"/>
      <c r="ATQ492" s="106"/>
      <c r="ATR492" s="106"/>
      <c r="ATS492" s="106"/>
      <c r="ATT492" s="106"/>
      <c r="ATU492" s="106"/>
      <c r="ATV492" s="106"/>
      <c r="ATW492" s="106"/>
      <c r="ATX492" s="106"/>
      <c r="ATY492" s="106"/>
      <c r="ATZ492" s="106"/>
      <c r="AUA492" s="106"/>
      <c r="AUB492" s="106"/>
      <c r="AUC492" s="106"/>
      <c r="AUD492" s="106"/>
      <c r="AUE492" s="106"/>
      <c r="AUF492" s="106"/>
      <c r="AUG492" s="106"/>
      <c r="AUH492" s="106"/>
      <c r="AUI492" s="106"/>
      <c r="AUJ492" s="106"/>
      <c r="AUK492" s="106"/>
      <c r="AUL492" s="106"/>
      <c r="AUM492" s="106"/>
      <c r="AUN492" s="106"/>
      <c r="AUO492" s="106"/>
      <c r="AUP492" s="106"/>
      <c r="AUQ492" s="106"/>
      <c r="AUR492" s="106"/>
      <c r="AUS492" s="106"/>
      <c r="AUT492" s="106"/>
      <c r="AUU492" s="106"/>
      <c r="AUV492" s="106"/>
      <c r="AUW492" s="106"/>
      <c r="AUX492" s="106"/>
      <c r="AUY492" s="106"/>
      <c r="AUZ492" s="106"/>
      <c r="AVA492" s="106"/>
      <c r="AVB492" s="106"/>
      <c r="AVC492" s="106"/>
      <c r="AVD492" s="106"/>
      <c r="AVE492" s="106"/>
      <c r="AVF492" s="106"/>
      <c r="AVG492" s="106"/>
      <c r="AVH492" s="106"/>
      <c r="AVI492" s="106"/>
      <c r="AVJ492" s="106"/>
      <c r="AVK492" s="106"/>
      <c r="AVL492" s="106"/>
      <c r="AVM492" s="106"/>
      <c r="AVN492" s="106"/>
      <c r="AVO492" s="106"/>
      <c r="AVP492" s="106"/>
      <c r="AVQ492" s="106"/>
      <c r="AVR492" s="106"/>
      <c r="AVS492" s="106"/>
      <c r="AVT492" s="106"/>
      <c r="AVU492" s="106"/>
      <c r="AVV492" s="106"/>
      <c r="AVW492" s="106"/>
      <c r="AVX492" s="106"/>
      <c r="AVY492" s="106"/>
      <c r="AVZ492" s="106"/>
      <c r="AWA492" s="106"/>
      <c r="AWB492" s="106"/>
      <c r="AWC492" s="106"/>
      <c r="AWD492" s="106"/>
      <c r="AWE492" s="106"/>
      <c r="AWF492" s="106"/>
      <c r="AWG492" s="106"/>
      <c r="AWH492" s="106"/>
      <c r="AWI492" s="106"/>
      <c r="AWJ492" s="106"/>
      <c r="AWK492" s="106"/>
      <c r="AWL492" s="106"/>
      <c r="AWM492" s="106"/>
      <c r="AWN492" s="106"/>
      <c r="AWO492" s="106"/>
      <c r="AWP492" s="106"/>
      <c r="AWQ492" s="106"/>
      <c r="AWR492" s="106"/>
      <c r="AWS492" s="106"/>
      <c r="AWT492" s="106"/>
      <c r="AWU492" s="106"/>
      <c r="AWV492" s="106"/>
      <c r="AWW492" s="106"/>
      <c r="AWX492" s="106"/>
      <c r="AWY492" s="106"/>
      <c r="AWZ492" s="106"/>
      <c r="AXA492" s="106"/>
      <c r="AXB492" s="106"/>
      <c r="AXC492" s="106"/>
      <c r="AXD492" s="106"/>
      <c r="AXE492" s="106"/>
      <c r="AXF492" s="106"/>
      <c r="AXG492" s="106"/>
      <c r="AXH492" s="106"/>
      <c r="AXI492" s="106"/>
      <c r="AXJ492" s="106"/>
      <c r="AXK492" s="106"/>
      <c r="AXL492" s="106"/>
      <c r="AXM492" s="106"/>
      <c r="AXN492" s="106"/>
      <c r="AXO492" s="106"/>
      <c r="AXP492" s="106"/>
      <c r="AXQ492" s="106"/>
      <c r="AXR492" s="106"/>
      <c r="AXS492" s="106"/>
      <c r="AXT492" s="106"/>
      <c r="AXU492" s="106"/>
      <c r="AXV492" s="106"/>
      <c r="AXW492" s="106"/>
      <c r="AXX492" s="106"/>
      <c r="AXY492" s="106"/>
      <c r="AXZ492" s="106"/>
      <c r="AYA492" s="106"/>
      <c r="AYB492" s="106"/>
      <c r="AYC492" s="106"/>
      <c r="AYD492" s="106"/>
      <c r="AYE492" s="106"/>
      <c r="AYF492" s="106"/>
      <c r="AYG492" s="106"/>
      <c r="AYH492" s="106"/>
      <c r="AYI492" s="106"/>
      <c r="AYJ492" s="106"/>
      <c r="AYK492" s="106"/>
      <c r="AYL492" s="106"/>
      <c r="AYM492" s="106"/>
      <c r="AYN492" s="106"/>
      <c r="AYO492" s="106"/>
      <c r="AYP492" s="106"/>
      <c r="AYQ492" s="106"/>
      <c r="AYR492" s="106"/>
      <c r="AYS492" s="106"/>
      <c r="AYT492" s="106"/>
      <c r="AYU492" s="106"/>
      <c r="AYV492" s="106"/>
      <c r="AYW492" s="106"/>
      <c r="AYX492" s="106"/>
      <c r="AYY492" s="106"/>
      <c r="AYZ492" s="106"/>
      <c r="AZA492" s="106"/>
      <c r="AZB492" s="106"/>
      <c r="AZC492" s="106"/>
      <c r="AZD492" s="106"/>
      <c r="AZE492" s="106"/>
      <c r="AZF492" s="106"/>
      <c r="AZG492" s="106"/>
      <c r="AZH492" s="106"/>
      <c r="AZI492" s="106"/>
      <c r="AZJ492" s="106"/>
      <c r="AZK492" s="106"/>
      <c r="AZL492" s="106"/>
      <c r="AZM492" s="106"/>
      <c r="AZN492" s="106"/>
      <c r="AZO492" s="106"/>
      <c r="AZP492" s="106"/>
      <c r="AZQ492" s="106"/>
      <c r="AZR492" s="106"/>
      <c r="AZS492" s="106"/>
      <c r="AZT492" s="106"/>
      <c r="AZU492" s="106"/>
      <c r="AZV492" s="106"/>
      <c r="AZW492" s="106"/>
      <c r="AZX492" s="106"/>
      <c r="AZY492" s="106"/>
      <c r="AZZ492" s="106"/>
      <c r="BAA492" s="106"/>
      <c r="BAB492" s="106"/>
      <c r="BAC492" s="106"/>
      <c r="BAD492" s="106"/>
      <c r="BAE492" s="106"/>
      <c r="BAF492" s="106"/>
      <c r="BAG492" s="106"/>
      <c r="BAH492" s="106"/>
      <c r="BAI492" s="106"/>
      <c r="BAJ492" s="106"/>
      <c r="BAK492" s="106"/>
      <c r="BAL492" s="106"/>
      <c r="BAM492" s="106"/>
      <c r="BAN492" s="106"/>
      <c r="BAO492" s="106"/>
      <c r="BAP492" s="106"/>
      <c r="BAQ492" s="106"/>
      <c r="BAR492" s="106"/>
      <c r="BAS492" s="106"/>
      <c r="BAT492" s="106"/>
      <c r="BAU492" s="106"/>
      <c r="BAV492" s="106"/>
      <c r="BAW492" s="106"/>
      <c r="BAX492" s="106"/>
      <c r="BAY492" s="106"/>
      <c r="BAZ492" s="106"/>
      <c r="BBA492" s="106"/>
      <c r="BBB492" s="106"/>
      <c r="BBC492" s="106"/>
      <c r="BBD492" s="106"/>
      <c r="BBE492" s="106"/>
      <c r="BBF492" s="106"/>
      <c r="BBG492" s="106"/>
      <c r="BBH492" s="106"/>
      <c r="BBI492" s="106"/>
      <c r="BBJ492" s="106"/>
      <c r="BBK492" s="106"/>
      <c r="BBL492" s="106"/>
      <c r="BBM492" s="106"/>
      <c r="BBN492" s="106"/>
      <c r="BBO492" s="106"/>
      <c r="BBP492" s="106"/>
      <c r="BBQ492" s="106"/>
      <c r="BBR492" s="106"/>
      <c r="BBS492" s="106"/>
      <c r="BBT492" s="106"/>
      <c r="BBU492" s="106"/>
      <c r="BBV492" s="106"/>
      <c r="BBW492" s="106"/>
      <c r="BBX492" s="106"/>
      <c r="BBY492" s="106"/>
      <c r="BBZ492" s="106"/>
      <c r="BCA492" s="106"/>
      <c r="BCB492" s="106"/>
      <c r="BCC492" s="106"/>
      <c r="BCD492" s="106"/>
      <c r="BCE492" s="106"/>
      <c r="BCF492" s="106"/>
      <c r="BCG492" s="106"/>
      <c r="BCH492" s="106"/>
      <c r="BCI492" s="106"/>
      <c r="BCJ492" s="106"/>
      <c r="BCK492" s="106"/>
      <c r="BCL492" s="106"/>
      <c r="BCM492" s="106"/>
      <c r="BCN492" s="106"/>
      <c r="BCO492" s="106"/>
      <c r="BCP492" s="106"/>
      <c r="BCQ492" s="106"/>
      <c r="BCR492" s="106"/>
      <c r="BCS492" s="106"/>
      <c r="BCT492" s="106"/>
      <c r="BCU492" s="106"/>
      <c r="BCV492" s="106"/>
      <c r="BCW492" s="106"/>
      <c r="BCX492" s="106"/>
      <c r="BCY492" s="106"/>
      <c r="BCZ492" s="106"/>
      <c r="BDA492" s="106"/>
      <c r="BDB492" s="106"/>
      <c r="BDC492" s="106"/>
      <c r="BDD492" s="106"/>
      <c r="BDE492" s="106"/>
      <c r="BDF492" s="106"/>
      <c r="BDG492" s="106"/>
      <c r="BDH492" s="106"/>
      <c r="BDI492" s="106"/>
      <c r="BDJ492" s="106"/>
      <c r="BDK492" s="106"/>
      <c r="BDL492" s="106"/>
      <c r="BDM492" s="106"/>
      <c r="BDN492" s="106"/>
      <c r="BDO492" s="106"/>
      <c r="BDP492" s="106"/>
      <c r="BDQ492" s="106"/>
      <c r="BDR492" s="106"/>
      <c r="BDS492" s="106"/>
      <c r="BDT492" s="106"/>
      <c r="BDU492" s="106"/>
      <c r="BDV492" s="106"/>
      <c r="BDW492" s="106"/>
      <c r="BDX492" s="106"/>
      <c r="BDY492" s="106"/>
      <c r="BDZ492" s="106"/>
      <c r="BEA492" s="106"/>
      <c r="BEB492" s="106"/>
      <c r="BEC492" s="106"/>
      <c r="BED492" s="106"/>
      <c r="BEE492" s="106"/>
      <c r="BEF492" s="106"/>
      <c r="BEG492" s="106"/>
      <c r="BEH492" s="106"/>
      <c r="BEI492" s="106"/>
      <c r="BEJ492" s="106"/>
      <c r="BEK492" s="106"/>
      <c r="BEL492" s="106"/>
      <c r="BEM492" s="106"/>
      <c r="BEN492" s="106"/>
      <c r="BEO492" s="106"/>
      <c r="BEP492" s="106"/>
      <c r="BEQ492" s="106"/>
      <c r="BER492" s="106"/>
      <c r="BES492" s="106"/>
      <c r="BET492" s="106"/>
      <c r="BEU492" s="106"/>
      <c r="BEV492" s="106"/>
      <c r="BEW492" s="106"/>
      <c r="BEX492" s="106"/>
      <c r="BEY492" s="106"/>
      <c r="BEZ492" s="106"/>
      <c r="BFA492" s="106"/>
      <c r="BFB492" s="106"/>
      <c r="BFC492" s="106"/>
      <c r="BFD492" s="106"/>
      <c r="BFE492" s="106"/>
      <c r="BFF492" s="106"/>
      <c r="BFG492" s="106"/>
      <c r="BFH492" s="106"/>
      <c r="BFI492" s="106"/>
      <c r="BFJ492" s="106"/>
      <c r="BFK492" s="106"/>
      <c r="BFL492" s="106"/>
      <c r="BFM492" s="106"/>
      <c r="BFN492" s="106"/>
      <c r="BFO492" s="106"/>
      <c r="BFP492" s="106"/>
      <c r="BFQ492" s="106"/>
      <c r="BFR492" s="106"/>
      <c r="BFS492" s="106"/>
      <c r="BFT492" s="106"/>
      <c r="BFU492" s="106"/>
      <c r="BFV492" s="106"/>
      <c r="BFW492" s="106"/>
      <c r="BFX492" s="106"/>
      <c r="BFY492" s="106"/>
      <c r="BFZ492" s="106"/>
      <c r="BGA492" s="106"/>
      <c r="BGB492" s="106"/>
      <c r="BGC492" s="106"/>
      <c r="BGD492" s="106"/>
      <c r="BGE492" s="106"/>
      <c r="BGF492" s="106"/>
      <c r="BGG492" s="106"/>
      <c r="BGH492" s="106"/>
      <c r="BGI492" s="106"/>
      <c r="BGJ492" s="106"/>
      <c r="BGK492" s="106"/>
      <c r="BGL492" s="106"/>
      <c r="BGM492" s="106"/>
      <c r="BGN492" s="106"/>
      <c r="BGO492" s="106"/>
      <c r="BGP492" s="106"/>
      <c r="BGQ492" s="106"/>
      <c r="BGR492" s="106"/>
      <c r="BGS492" s="106"/>
      <c r="BGT492" s="106"/>
      <c r="BGU492" s="106"/>
      <c r="BGV492" s="106"/>
      <c r="BGW492" s="106"/>
      <c r="BGX492" s="106"/>
      <c r="BGY492" s="106"/>
      <c r="BGZ492" s="106"/>
      <c r="BHA492" s="106"/>
      <c r="BHB492" s="106"/>
      <c r="BHC492" s="106"/>
      <c r="BHD492" s="106"/>
      <c r="BHE492" s="106"/>
      <c r="BHF492" s="106"/>
      <c r="BHG492" s="106"/>
      <c r="BHH492" s="106"/>
      <c r="BHI492" s="106"/>
      <c r="BHJ492" s="106"/>
      <c r="BHK492" s="106"/>
      <c r="BHL492" s="106"/>
      <c r="BHM492" s="106"/>
      <c r="BHN492" s="106"/>
      <c r="BHO492" s="106"/>
      <c r="BHP492" s="106"/>
      <c r="BHQ492" s="106"/>
      <c r="BHR492" s="106"/>
      <c r="BHS492" s="106"/>
      <c r="BHT492" s="106"/>
      <c r="BHU492" s="106"/>
      <c r="BHV492" s="106"/>
      <c r="BHW492" s="106"/>
      <c r="BHX492" s="106"/>
      <c r="BHY492" s="106"/>
      <c r="BHZ492" s="106"/>
      <c r="BIA492" s="106"/>
      <c r="BIB492" s="106"/>
      <c r="BIC492" s="106"/>
      <c r="BID492" s="106"/>
      <c r="BIE492" s="106"/>
      <c r="BIF492" s="106"/>
      <c r="BIG492" s="106"/>
      <c r="BIH492" s="106"/>
      <c r="BII492" s="106"/>
      <c r="BIJ492" s="106"/>
      <c r="BIK492" s="106"/>
      <c r="BIL492" s="106"/>
      <c r="BIM492" s="106"/>
      <c r="BIN492" s="106"/>
      <c r="BIO492" s="106"/>
      <c r="BIP492" s="106"/>
      <c r="BIQ492" s="106"/>
      <c r="BIR492" s="106"/>
      <c r="BIS492" s="106"/>
      <c r="BIT492" s="106"/>
      <c r="BIU492" s="106"/>
      <c r="BIV492" s="106"/>
      <c r="BIW492" s="106"/>
      <c r="BIX492" s="106"/>
      <c r="BIY492" s="106"/>
      <c r="BIZ492" s="106"/>
      <c r="BJA492" s="106"/>
      <c r="BJB492" s="106"/>
      <c r="BJC492" s="106"/>
      <c r="BJD492" s="106"/>
      <c r="BJE492" s="106"/>
      <c r="BJF492" s="106"/>
      <c r="BJG492" s="106"/>
      <c r="BJH492" s="106"/>
      <c r="BJI492" s="106"/>
      <c r="BJJ492" s="106"/>
      <c r="BJK492" s="106"/>
      <c r="BJL492" s="106"/>
      <c r="BJM492" s="106"/>
      <c r="BJN492" s="106"/>
      <c r="BJO492" s="106"/>
      <c r="BJP492" s="106"/>
      <c r="BJQ492" s="106"/>
      <c r="BJR492" s="106"/>
      <c r="BJS492" s="106"/>
      <c r="BJT492" s="106"/>
      <c r="BJU492" s="106"/>
      <c r="BJV492" s="106"/>
      <c r="BJW492" s="106"/>
      <c r="BJX492" s="106"/>
      <c r="BJY492" s="106"/>
      <c r="BJZ492" s="106"/>
      <c r="BKA492" s="106"/>
      <c r="BKB492" s="106"/>
      <c r="BKC492" s="106"/>
      <c r="BKD492" s="106"/>
      <c r="BKE492" s="106"/>
      <c r="BKF492" s="106"/>
      <c r="BKG492" s="106"/>
      <c r="BKH492" s="106"/>
      <c r="BKI492" s="106"/>
      <c r="BKJ492" s="106"/>
      <c r="BKK492" s="106"/>
      <c r="BKL492" s="106"/>
      <c r="BKM492" s="106"/>
      <c r="BKN492" s="106"/>
      <c r="BKO492" s="106"/>
      <c r="BKP492" s="106"/>
      <c r="BKQ492" s="106"/>
      <c r="BKR492" s="106"/>
      <c r="BKS492" s="106"/>
      <c r="BKT492" s="106"/>
      <c r="BKU492" s="106"/>
      <c r="BKV492" s="106"/>
      <c r="BKW492" s="106"/>
      <c r="BKX492" s="106"/>
      <c r="BKY492" s="106"/>
      <c r="BKZ492" s="106"/>
      <c r="BLA492" s="106"/>
      <c r="BLB492" s="106"/>
      <c r="BLC492" s="106"/>
      <c r="BLD492" s="106"/>
      <c r="BLE492" s="106"/>
      <c r="BLF492" s="106"/>
      <c r="BLG492" s="106"/>
      <c r="BLH492" s="106"/>
      <c r="BLI492" s="106"/>
      <c r="BLJ492" s="106"/>
      <c r="BLK492" s="106"/>
      <c r="BLL492" s="106"/>
      <c r="BLM492" s="106"/>
      <c r="BLN492" s="106"/>
      <c r="BLO492" s="106"/>
      <c r="BLP492" s="106"/>
      <c r="BLQ492" s="106"/>
      <c r="BLR492" s="106"/>
      <c r="BLS492" s="106"/>
      <c r="BLT492" s="106"/>
      <c r="BLU492" s="106"/>
      <c r="BLV492" s="106"/>
      <c r="BLW492" s="106"/>
      <c r="BLX492" s="106"/>
      <c r="BLY492" s="106"/>
      <c r="BLZ492" s="106"/>
      <c r="BMA492" s="106"/>
      <c r="BMB492" s="106"/>
      <c r="BMC492" s="106"/>
      <c r="BMD492" s="106"/>
      <c r="BME492" s="106"/>
      <c r="BMF492" s="106"/>
      <c r="BMG492" s="106"/>
      <c r="BMH492" s="106"/>
      <c r="BMI492" s="106"/>
      <c r="BMJ492" s="106"/>
      <c r="BMK492" s="106"/>
      <c r="BML492" s="106"/>
      <c r="BMM492" s="106"/>
      <c r="BMN492" s="106"/>
      <c r="BMO492" s="106"/>
      <c r="BMP492" s="106"/>
      <c r="BMQ492" s="106"/>
      <c r="BMR492" s="106"/>
      <c r="BMS492" s="106"/>
      <c r="BMT492" s="106"/>
      <c r="BMU492" s="106"/>
      <c r="BMV492" s="106"/>
      <c r="BMW492" s="106"/>
      <c r="BMX492" s="106"/>
      <c r="BMY492" s="106"/>
      <c r="BMZ492" s="106"/>
      <c r="BNA492" s="106"/>
      <c r="BNB492" s="106"/>
      <c r="BNC492" s="106"/>
      <c r="BND492" s="106"/>
      <c r="BNE492" s="106"/>
      <c r="BNF492" s="106"/>
      <c r="BNG492" s="106"/>
      <c r="BNH492" s="106"/>
      <c r="BNI492" s="106"/>
      <c r="BNJ492" s="106"/>
      <c r="BNK492" s="106"/>
      <c r="BNL492" s="106"/>
      <c r="BNM492" s="106"/>
      <c r="BNN492" s="106"/>
      <c r="BNO492" s="106"/>
      <c r="BNP492" s="106"/>
      <c r="BNQ492" s="106"/>
      <c r="BNR492" s="106"/>
      <c r="BNS492" s="106"/>
      <c r="BNT492" s="106"/>
      <c r="BNU492" s="106"/>
      <c r="BNV492" s="106"/>
      <c r="BNW492" s="106"/>
      <c r="BNX492" s="106"/>
      <c r="BNY492" s="106"/>
      <c r="BNZ492" s="106"/>
      <c r="BOA492" s="106"/>
      <c r="BOB492" s="106"/>
      <c r="BOC492" s="106"/>
      <c r="BOD492" s="106"/>
      <c r="BOE492" s="106"/>
      <c r="BOF492" s="106"/>
      <c r="BOG492" s="106"/>
      <c r="BOH492" s="106"/>
      <c r="BOI492" s="106"/>
      <c r="BOJ492" s="106"/>
      <c r="BOK492" s="106"/>
      <c r="BOL492" s="106"/>
      <c r="BOM492" s="106"/>
      <c r="BON492" s="106"/>
      <c r="BOO492" s="106"/>
      <c r="BOP492" s="106"/>
      <c r="BOQ492" s="106"/>
      <c r="BOR492" s="106"/>
      <c r="BOS492" s="106"/>
      <c r="BOT492" s="106"/>
      <c r="BOU492" s="106"/>
      <c r="BOV492" s="106"/>
      <c r="BOW492" s="106"/>
      <c r="BOX492" s="106"/>
      <c r="BOY492" s="106"/>
      <c r="BOZ492" s="106"/>
      <c r="BPA492" s="106"/>
      <c r="BPB492" s="106"/>
      <c r="BPC492" s="106"/>
      <c r="BPD492" s="106"/>
      <c r="BPE492" s="106"/>
      <c r="BPF492" s="106"/>
      <c r="BPG492" s="106"/>
      <c r="BPH492" s="106"/>
      <c r="BPI492" s="106"/>
      <c r="BPJ492" s="106"/>
      <c r="BPK492" s="106"/>
      <c r="BPL492" s="106"/>
      <c r="BPM492" s="106"/>
      <c r="BPN492" s="106"/>
      <c r="BPO492" s="106"/>
      <c r="BPP492" s="106"/>
      <c r="BPQ492" s="106"/>
      <c r="BPR492" s="106"/>
      <c r="BPS492" s="106"/>
      <c r="BPT492" s="106"/>
      <c r="BPU492" s="106"/>
      <c r="BPV492" s="106"/>
      <c r="BPW492" s="106"/>
      <c r="BPX492" s="106"/>
      <c r="BPY492" s="106"/>
      <c r="BPZ492" s="106"/>
      <c r="BQA492" s="106"/>
      <c r="BQB492" s="106"/>
      <c r="BQC492" s="106"/>
      <c r="BQD492" s="106"/>
      <c r="BQE492" s="106"/>
      <c r="BQF492" s="106"/>
      <c r="BQG492" s="106"/>
      <c r="BQH492" s="106"/>
      <c r="BQI492" s="106"/>
      <c r="BQJ492" s="106"/>
      <c r="BQK492" s="106"/>
      <c r="BQL492" s="106"/>
      <c r="BQM492" s="106"/>
      <c r="BQN492" s="106"/>
      <c r="BQO492" s="106"/>
      <c r="BQP492" s="106"/>
      <c r="BQQ492" s="106"/>
      <c r="BQR492" s="106"/>
      <c r="BQS492" s="106"/>
      <c r="BQT492" s="106"/>
      <c r="BQU492" s="106"/>
      <c r="BQV492" s="106"/>
      <c r="BQW492" s="106"/>
      <c r="BQX492" s="106"/>
      <c r="BQY492" s="106"/>
      <c r="BQZ492" s="106"/>
      <c r="BRA492" s="106"/>
      <c r="BRB492" s="106"/>
      <c r="BRC492" s="106"/>
      <c r="BRD492" s="106"/>
      <c r="BRE492" s="106"/>
      <c r="BRF492" s="106"/>
      <c r="BRG492" s="106"/>
      <c r="BRH492" s="106"/>
      <c r="BRI492" s="106"/>
      <c r="BRJ492" s="106"/>
      <c r="BRK492" s="106"/>
      <c r="BRL492" s="106"/>
      <c r="BRM492" s="106"/>
      <c r="BRN492" s="106"/>
      <c r="BRO492" s="106"/>
      <c r="BRP492" s="106"/>
      <c r="BRQ492" s="106"/>
      <c r="BRR492" s="106"/>
      <c r="BRS492" s="106"/>
      <c r="BRT492" s="106"/>
      <c r="BRU492" s="106"/>
      <c r="BRV492" s="106"/>
      <c r="BRW492" s="106"/>
      <c r="BRX492" s="106"/>
      <c r="BRY492" s="106"/>
      <c r="BRZ492" s="106"/>
      <c r="BSA492" s="106"/>
      <c r="BSB492" s="106"/>
      <c r="BSC492" s="106"/>
      <c r="BSD492" s="106"/>
      <c r="BSE492" s="106"/>
      <c r="BSF492" s="106"/>
      <c r="BSG492" s="106"/>
      <c r="BSH492" s="106"/>
      <c r="BSI492" s="106"/>
      <c r="BSJ492" s="106"/>
      <c r="BSK492" s="106"/>
      <c r="BSL492" s="106"/>
      <c r="BSM492" s="106"/>
      <c r="BSN492" s="106"/>
      <c r="BSO492" s="106"/>
      <c r="BSP492" s="106"/>
      <c r="BSQ492" s="106"/>
      <c r="BSR492" s="106"/>
      <c r="BSS492" s="106"/>
      <c r="BST492" s="106"/>
      <c r="BSU492" s="106"/>
      <c r="BSV492" s="106"/>
      <c r="BSW492" s="106"/>
      <c r="BSX492" s="106"/>
      <c r="BSY492" s="106"/>
      <c r="BSZ492" s="106"/>
      <c r="BTA492" s="106"/>
      <c r="BTB492" s="106"/>
      <c r="BTC492" s="106"/>
      <c r="BTD492" s="106"/>
      <c r="BTE492" s="106"/>
      <c r="BTF492" s="106"/>
      <c r="BTG492" s="106"/>
      <c r="BTH492" s="106"/>
      <c r="BTI492" s="106"/>
      <c r="BTJ492" s="106"/>
      <c r="BTK492" s="106"/>
      <c r="BTL492" s="106"/>
      <c r="BTM492" s="106"/>
      <c r="BTN492" s="106"/>
      <c r="BTO492" s="106"/>
      <c r="BTP492" s="106"/>
      <c r="BTQ492" s="106"/>
      <c r="BTR492" s="106"/>
      <c r="BTS492" s="106"/>
      <c r="BTT492" s="106"/>
      <c r="BTU492" s="106"/>
      <c r="BTV492" s="106"/>
      <c r="BTW492" s="106"/>
      <c r="BTX492" s="106"/>
      <c r="BTY492" s="106"/>
      <c r="BTZ492" s="106"/>
      <c r="BUA492" s="106"/>
      <c r="BUB492" s="106"/>
      <c r="BUC492" s="106"/>
      <c r="BUD492" s="106"/>
      <c r="BUE492" s="106"/>
      <c r="BUF492" s="106"/>
      <c r="BUG492" s="106"/>
      <c r="BUH492" s="106"/>
      <c r="BUI492" s="106"/>
      <c r="BUJ492" s="106"/>
      <c r="BUK492" s="106"/>
      <c r="BUL492" s="106"/>
      <c r="BUM492" s="106"/>
      <c r="BUN492" s="106"/>
      <c r="BUO492" s="106"/>
      <c r="BUP492" s="106"/>
      <c r="BUQ492" s="106"/>
      <c r="BUR492" s="106"/>
      <c r="BUS492" s="106"/>
      <c r="BUT492" s="106"/>
      <c r="BUU492" s="106"/>
      <c r="BUV492" s="106"/>
      <c r="BUW492" s="106"/>
      <c r="BUX492" s="106"/>
      <c r="BUY492" s="106"/>
      <c r="BUZ492" s="106"/>
      <c r="BVA492" s="106"/>
      <c r="BVB492" s="106"/>
      <c r="BVC492" s="106"/>
      <c r="BVD492" s="106"/>
      <c r="BVE492" s="106"/>
      <c r="BVF492" s="106"/>
      <c r="BVG492" s="106"/>
      <c r="BVH492" s="106"/>
      <c r="BVI492" s="106"/>
      <c r="BVJ492" s="106"/>
      <c r="BVK492" s="106"/>
      <c r="BVL492" s="106"/>
      <c r="BVM492" s="106"/>
      <c r="BVN492" s="106"/>
      <c r="BVO492" s="106"/>
      <c r="BVP492" s="106"/>
      <c r="BVQ492" s="106"/>
      <c r="BVR492" s="106"/>
      <c r="BVS492" s="106"/>
      <c r="BVT492" s="106"/>
      <c r="BVU492" s="106"/>
      <c r="BVV492" s="106"/>
      <c r="BVW492" s="106"/>
      <c r="BVX492" s="106"/>
      <c r="BVY492" s="106"/>
      <c r="BVZ492" s="106"/>
      <c r="BWA492" s="106"/>
      <c r="BWB492" s="106"/>
      <c r="BWC492" s="106"/>
      <c r="BWD492" s="106"/>
      <c r="BWE492" s="106"/>
      <c r="BWF492" s="106"/>
      <c r="BWG492" s="106"/>
      <c r="BWH492" s="106"/>
      <c r="BWI492" s="106"/>
      <c r="BWJ492" s="106"/>
      <c r="BWK492" s="106"/>
      <c r="BWL492" s="106"/>
      <c r="BWM492" s="106"/>
      <c r="BWN492" s="106"/>
      <c r="BWO492" s="106"/>
      <c r="BWP492" s="106"/>
      <c r="BWQ492" s="106"/>
      <c r="BWR492" s="106"/>
      <c r="BWS492" s="106"/>
      <c r="BWT492" s="106"/>
      <c r="BWU492" s="106"/>
      <c r="BWV492" s="106"/>
      <c r="BWW492" s="106"/>
      <c r="BWX492" s="106"/>
      <c r="BWY492" s="106"/>
      <c r="BWZ492" s="106"/>
      <c r="BXA492" s="106"/>
      <c r="BXB492" s="106"/>
      <c r="BXC492" s="106"/>
      <c r="BXD492" s="106"/>
      <c r="BXE492" s="106"/>
      <c r="BXF492" s="106"/>
      <c r="BXG492" s="106"/>
      <c r="BXH492" s="106"/>
      <c r="BXI492" s="106"/>
      <c r="BXJ492" s="106"/>
      <c r="BXK492" s="106"/>
      <c r="BXL492" s="106"/>
      <c r="BXM492" s="106"/>
      <c r="BXN492" s="106"/>
      <c r="BXO492" s="106"/>
      <c r="BXP492" s="106"/>
      <c r="BXQ492" s="106"/>
      <c r="BXR492" s="106"/>
      <c r="BXS492" s="106"/>
      <c r="BXT492" s="106"/>
      <c r="BXU492" s="106"/>
      <c r="BXV492" s="106"/>
      <c r="BXW492" s="106"/>
      <c r="BXX492" s="106"/>
      <c r="BXY492" s="106"/>
      <c r="BXZ492" s="106"/>
      <c r="BYA492" s="106"/>
      <c r="BYB492" s="106"/>
      <c r="BYC492" s="106"/>
      <c r="BYD492" s="106"/>
      <c r="BYE492" s="106"/>
      <c r="BYF492" s="106"/>
      <c r="BYG492" s="106"/>
      <c r="BYH492" s="106"/>
      <c r="BYI492" s="106"/>
      <c r="BYJ492" s="106"/>
      <c r="BYK492" s="106"/>
      <c r="BYL492" s="106"/>
      <c r="BYM492" s="106"/>
      <c r="BYN492" s="106"/>
      <c r="BYO492" s="106"/>
      <c r="BYP492" s="106"/>
      <c r="BYQ492" s="106"/>
      <c r="BYR492" s="106"/>
      <c r="BYS492" s="106"/>
      <c r="BYT492" s="106"/>
      <c r="BYU492" s="106"/>
      <c r="BYV492" s="106"/>
      <c r="BYW492" s="106"/>
      <c r="BYX492" s="106"/>
      <c r="BYY492" s="106"/>
      <c r="BYZ492" s="106"/>
      <c r="BZA492" s="106"/>
      <c r="BZB492" s="106"/>
      <c r="BZC492" s="106"/>
      <c r="BZD492" s="106"/>
      <c r="BZE492" s="106"/>
      <c r="BZF492" s="106"/>
      <c r="BZG492" s="106"/>
      <c r="BZH492" s="106"/>
      <c r="BZI492" s="106"/>
      <c r="BZJ492" s="106"/>
      <c r="BZK492" s="106"/>
      <c r="BZL492" s="106"/>
      <c r="BZM492" s="106"/>
      <c r="BZN492" s="106"/>
      <c r="BZO492" s="106"/>
      <c r="BZP492" s="106"/>
      <c r="BZQ492" s="106"/>
      <c r="BZR492" s="106"/>
      <c r="BZS492" s="106"/>
      <c r="BZT492" s="106"/>
      <c r="BZU492" s="106"/>
      <c r="BZV492" s="106"/>
      <c r="BZW492" s="106"/>
      <c r="BZX492" s="106"/>
      <c r="BZY492" s="106"/>
      <c r="BZZ492" s="106"/>
      <c r="CAA492" s="106"/>
      <c r="CAB492" s="106"/>
      <c r="CAC492" s="106"/>
      <c r="CAD492" s="106"/>
      <c r="CAE492" s="106"/>
      <c r="CAF492" s="106"/>
      <c r="CAG492" s="106"/>
      <c r="CAH492" s="106"/>
      <c r="CAI492" s="106"/>
      <c r="CAJ492" s="106"/>
      <c r="CAK492" s="106"/>
      <c r="CAL492" s="106"/>
      <c r="CAM492" s="106"/>
      <c r="CAN492" s="106"/>
      <c r="CAO492" s="106"/>
      <c r="CAP492" s="106"/>
      <c r="CAQ492" s="106"/>
      <c r="CAR492" s="106"/>
      <c r="CAS492" s="106"/>
      <c r="CAT492" s="106"/>
      <c r="CAU492" s="106"/>
      <c r="CAV492" s="106"/>
      <c r="CAW492" s="106"/>
      <c r="CAX492" s="106"/>
      <c r="CAY492" s="106"/>
      <c r="CAZ492" s="106"/>
      <c r="CBA492" s="106"/>
      <c r="CBB492" s="106"/>
      <c r="CBC492" s="106"/>
      <c r="CBD492" s="106"/>
      <c r="CBE492" s="106"/>
      <c r="CBF492" s="106"/>
      <c r="CBG492" s="106"/>
      <c r="CBH492" s="106"/>
      <c r="CBI492" s="106"/>
      <c r="CBJ492" s="106"/>
      <c r="CBK492" s="106"/>
      <c r="CBL492" s="106"/>
      <c r="CBM492" s="106"/>
      <c r="CBN492" s="106"/>
      <c r="CBO492" s="106"/>
      <c r="CBP492" s="106"/>
      <c r="CBQ492" s="106"/>
      <c r="CBR492" s="106"/>
      <c r="CBS492" s="106"/>
      <c r="CBT492" s="106"/>
      <c r="CBU492" s="106"/>
      <c r="CBV492" s="106"/>
      <c r="CBW492" s="106"/>
      <c r="CBX492" s="106"/>
      <c r="CBY492" s="106"/>
      <c r="CBZ492" s="106"/>
      <c r="CCA492" s="106"/>
      <c r="CCB492" s="106"/>
      <c r="CCC492" s="106"/>
      <c r="CCD492" s="106"/>
      <c r="CCE492" s="106"/>
      <c r="CCF492" s="106"/>
      <c r="CCG492" s="106"/>
      <c r="CCH492" s="106"/>
      <c r="CCI492" s="106"/>
      <c r="CCJ492" s="106"/>
      <c r="CCK492" s="106"/>
      <c r="CCL492" s="106"/>
      <c r="CCM492" s="106"/>
      <c r="CCN492" s="106"/>
      <c r="CCO492" s="106"/>
      <c r="CCP492" s="106"/>
      <c r="CCQ492" s="106"/>
      <c r="CCR492" s="106"/>
      <c r="CCS492" s="106"/>
      <c r="CCT492" s="106"/>
      <c r="CCU492" s="106"/>
      <c r="CCV492" s="106"/>
      <c r="CCW492" s="106"/>
      <c r="CCX492" s="106"/>
      <c r="CCY492" s="106"/>
      <c r="CCZ492" s="106"/>
      <c r="CDA492" s="106"/>
      <c r="CDB492" s="106"/>
      <c r="CDC492" s="106"/>
      <c r="CDD492" s="106"/>
      <c r="CDE492" s="106"/>
      <c r="CDF492" s="106"/>
      <c r="CDG492" s="106"/>
      <c r="CDH492" s="106"/>
      <c r="CDI492" s="106"/>
      <c r="CDJ492" s="106"/>
      <c r="CDK492" s="106"/>
      <c r="CDL492" s="106"/>
      <c r="CDM492" s="106"/>
      <c r="CDN492" s="106"/>
      <c r="CDO492" s="106"/>
      <c r="CDP492" s="106"/>
      <c r="CDQ492" s="106"/>
      <c r="CDR492" s="106"/>
      <c r="CDS492" s="106"/>
      <c r="CDT492" s="106"/>
      <c r="CDU492" s="106"/>
      <c r="CDV492" s="106"/>
      <c r="CDW492" s="106"/>
      <c r="CDX492" s="106"/>
      <c r="CDY492" s="106"/>
      <c r="CDZ492" s="106"/>
      <c r="CEA492" s="106"/>
      <c r="CEB492" s="106"/>
      <c r="CEC492" s="106"/>
      <c r="CED492" s="106"/>
      <c r="CEE492" s="106"/>
      <c r="CEF492" s="106"/>
      <c r="CEG492" s="106"/>
      <c r="CEH492" s="106"/>
      <c r="CEI492" s="106"/>
      <c r="CEJ492" s="106"/>
      <c r="CEK492" s="106"/>
      <c r="CEL492" s="106"/>
      <c r="CEM492" s="106"/>
      <c r="CEN492" s="106"/>
      <c r="CEO492" s="106"/>
      <c r="CEP492" s="106"/>
      <c r="CEQ492" s="106"/>
      <c r="CER492" s="106"/>
      <c r="CES492" s="106"/>
      <c r="CET492" s="106"/>
      <c r="CEU492" s="106"/>
      <c r="CEV492" s="106"/>
      <c r="CEW492" s="106"/>
      <c r="CEX492" s="106"/>
      <c r="CEY492" s="106"/>
      <c r="CEZ492" s="106"/>
      <c r="CFA492" s="106"/>
      <c r="CFB492" s="106"/>
      <c r="CFC492" s="106"/>
      <c r="CFD492" s="106"/>
      <c r="CFE492" s="106"/>
      <c r="CFF492" s="106"/>
      <c r="CFG492" s="106"/>
      <c r="CFH492" s="106"/>
      <c r="CFI492" s="106"/>
      <c r="CFJ492" s="106"/>
      <c r="CFK492" s="106"/>
      <c r="CFL492" s="106"/>
      <c r="CFM492" s="106"/>
      <c r="CFN492" s="106"/>
      <c r="CFO492" s="106"/>
      <c r="CFP492" s="106"/>
      <c r="CFQ492" s="106"/>
      <c r="CFR492" s="106"/>
      <c r="CFS492" s="106"/>
      <c r="CFT492" s="106"/>
      <c r="CFU492" s="106"/>
      <c r="CFV492" s="106"/>
      <c r="CFW492" s="106"/>
      <c r="CFX492" s="106"/>
      <c r="CFY492" s="106"/>
      <c r="CFZ492" s="106"/>
      <c r="CGA492" s="106"/>
      <c r="CGB492" s="106"/>
      <c r="CGC492" s="106"/>
      <c r="CGD492" s="106"/>
      <c r="CGE492" s="106"/>
      <c r="CGF492" s="106"/>
      <c r="CGG492" s="106"/>
      <c r="CGH492" s="106"/>
      <c r="CGI492" s="106"/>
      <c r="CGJ492" s="106"/>
      <c r="CGK492" s="106"/>
      <c r="CGL492" s="106"/>
      <c r="CGM492" s="106"/>
      <c r="CGN492" s="106"/>
      <c r="CGO492" s="106"/>
      <c r="CGP492" s="106"/>
      <c r="CGQ492" s="106"/>
      <c r="CGR492" s="106"/>
      <c r="CGS492" s="106"/>
      <c r="CGT492" s="106"/>
      <c r="CGU492" s="106"/>
      <c r="CGV492" s="106"/>
      <c r="CGW492" s="106"/>
      <c r="CGX492" s="106"/>
      <c r="CGY492" s="106"/>
      <c r="CGZ492" s="106"/>
      <c r="CHA492" s="106"/>
      <c r="CHB492" s="106"/>
      <c r="CHC492" s="106"/>
      <c r="CHD492" s="106"/>
      <c r="CHE492" s="106"/>
      <c r="CHF492" s="106"/>
      <c r="CHG492" s="106"/>
      <c r="CHH492" s="106"/>
      <c r="CHI492" s="106"/>
      <c r="CHJ492" s="106"/>
      <c r="CHK492" s="106"/>
      <c r="CHL492" s="106"/>
      <c r="CHM492" s="106"/>
      <c r="CHN492" s="106"/>
      <c r="CHO492" s="106"/>
      <c r="CHP492" s="106"/>
      <c r="CHQ492" s="106"/>
      <c r="CHR492" s="106"/>
      <c r="CHS492" s="106"/>
      <c r="CHT492" s="106"/>
      <c r="CHU492" s="106"/>
      <c r="CHV492" s="106"/>
      <c r="CHW492" s="106"/>
      <c r="CHX492" s="106"/>
      <c r="CHY492" s="106"/>
      <c r="CHZ492" s="106"/>
      <c r="CIA492" s="106"/>
      <c r="CIB492" s="106"/>
      <c r="CIC492" s="106"/>
      <c r="CID492" s="106"/>
      <c r="CIE492" s="106"/>
      <c r="CIF492" s="106"/>
      <c r="CIG492" s="106"/>
      <c r="CIH492" s="106"/>
      <c r="CII492" s="106"/>
      <c r="CIJ492" s="106"/>
      <c r="CIK492" s="106"/>
      <c r="CIL492" s="106"/>
      <c r="CIM492" s="106"/>
      <c r="CIN492" s="106"/>
      <c r="CIO492" s="106"/>
      <c r="CIP492" s="106"/>
      <c r="CIQ492" s="106"/>
      <c r="CIR492" s="106"/>
      <c r="CIS492" s="106"/>
      <c r="CIT492" s="106"/>
      <c r="CIU492" s="106"/>
      <c r="CIV492" s="106"/>
      <c r="CIW492" s="106"/>
      <c r="CIX492" s="106"/>
      <c r="CIY492" s="106"/>
      <c r="CIZ492" s="106"/>
      <c r="CJA492" s="106"/>
      <c r="CJB492" s="106"/>
      <c r="CJC492" s="106"/>
      <c r="CJD492" s="106"/>
      <c r="CJE492" s="106"/>
      <c r="CJF492" s="106"/>
      <c r="CJG492" s="106"/>
      <c r="CJH492" s="106"/>
      <c r="CJI492" s="106"/>
      <c r="CJJ492" s="106"/>
      <c r="CJK492" s="106"/>
      <c r="CJL492" s="106"/>
      <c r="CJM492" s="106"/>
      <c r="CJN492" s="106"/>
      <c r="CJO492" s="106"/>
      <c r="CJP492" s="106"/>
      <c r="CJQ492" s="106"/>
      <c r="CJR492" s="106"/>
      <c r="CJS492" s="106"/>
      <c r="CJT492" s="106"/>
      <c r="CJU492" s="106"/>
      <c r="CJV492" s="106"/>
      <c r="CJW492" s="106"/>
      <c r="CJX492" s="106"/>
      <c r="CJY492" s="106"/>
      <c r="CJZ492" s="106"/>
      <c r="CKA492" s="106"/>
      <c r="CKB492" s="106"/>
      <c r="CKC492" s="106"/>
      <c r="CKD492" s="106"/>
      <c r="CKE492" s="106"/>
      <c r="CKF492" s="106"/>
      <c r="CKG492" s="106"/>
      <c r="CKH492" s="106"/>
      <c r="CKI492" s="106"/>
      <c r="CKJ492" s="106"/>
      <c r="CKK492" s="106"/>
      <c r="CKL492" s="106"/>
      <c r="CKM492" s="106"/>
      <c r="CKN492" s="106"/>
      <c r="CKO492" s="106"/>
      <c r="CKP492" s="106"/>
      <c r="CKQ492" s="106"/>
      <c r="CKR492" s="106"/>
      <c r="CKS492" s="106"/>
      <c r="CKT492" s="106"/>
      <c r="CKU492" s="106"/>
      <c r="CKV492" s="106"/>
      <c r="CKW492" s="106"/>
      <c r="CKX492" s="106"/>
      <c r="CKY492" s="106"/>
      <c r="CKZ492" s="106"/>
      <c r="CLA492" s="106"/>
      <c r="CLB492" s="106"/>
      <c r="CLC492" s="106"/>
      <c r="CLD492" s="106"/>
      <c r="CLE492" s="106"/>
      <c r="CLF492" s="106"/>
      <c r="CLG492" s="106"/>
      <c r="CLH492" s="106"/>
      <c r="CLI492" s="106"/>
      <c r="CLJ492" s="106"/>
      <c r="CLK492" s="106"/>
      <c r="CLL492" s="106"/>
      <c r="CLM492" s="106"/>
      <c r="CLN492" s="106"/>
      <c r="CLO492" s="106"/>
      <c r="CLP492" s="106"/>
      <c r="CLQ492" s="106"/>
      <c r="CLR492" s="106"/>
      <c r="CLS492" s="106"/>
      <c r="CLT492" s="106"/>
      <c r="CLU492" s="106"/>
      <c r="CLV492" s="106"/>
      <c r="CLW492" s="106"/>
      <c r="CLX492" s="106"/>
      <c r="CLY492" s="106"/>
      <c r="CLZ492" s="106"/>
      <c r="CMA492" s="106"/>
      <c r="CMB492" s="106"/>
      <c r="CMC492" s="106"/>
      <c r="CMD492" s="106"/>
      <c r="CME492" s="106"/>
      <c r="CMF492" s="106"/>
      <c r="CMG492" s="106"/>
      <c r="CMH492" s="106"/>
      <c r="CMI492" s="106"/>
      <c r="CMJ492" s="106"/>
      <c r="CMK492" s="106"/>
      <c r="CML492" s="106"/>
      <c r="CMM492" s="106"/>
      <c r="CMN492" s="106"/>
      <c r="CMO492" s="106"/>
      <c r="CMP492" s="106"/>
      <c r="CMQ492" s="106"/>
      <c r="CMR492" s="106"/>
      <c r="CMS492" s="106"/>
      <c r="CMT492" s="106"/>
      <c r="CMU492" s="106"/>
      <c r="CMV492" s="106"/>
      <c r="CMW492" s="106"/>
      <c r="CMX492" s="106"/>
      <c r="CMY492" s="106"/>
      <c r="CMZ492" s="106"/>
      <c r="CNA492" s="106"/>
      <c r="CNB492" s="106"/>
      <c r="CNC492" s="106"/>
      <c r="CND492" s="106"/>
      <c r="CNE492" s="106"/>
      <c r="CNF492" s="106"/>
      <c r="CNG492" s="106"/>
      <c r="CNH492" s="106"/>
      <c r="CNI492" s="106"/>
      <c r="CNJ492" s="106"/>
      <c r="CNK492" s="106"/>
      <c r="CNL492" s="106"/>
      <c r="CNM492" s="106"/>
      <c r="CNN492" s="106"/>
      <c r="CNO492" s="106"/>
      <c r="CNP492" s="106"/>
      <c r="CNQ492" s="106"/>
      <c r="CNR492" s="106"/>
      <c r="CNS492" s="106"/>
      <c r="CNT492" s="106"/>
      <c r="CNU492" s="106"/>
      <c r="CNV492" s="106"/>
      <c r="CNW492" s="106"/>
      <c r="CNX492" s="106"/>
      <c r="CNY492" s="106"/>
      <c r="CNZ492" s="106"/>
      <c r="COA492" s="106"/>
      <c r="COB492" s="106"/>
      <c r="COC492" s="106"/>
      <c r="COD492" s="106"/>
      <c r="COE492" s="106"/>
      <c r="COF492" s="106"/>
      <c r="COG492" s="106"/>
      <c r="COH492" s="106"/>
      <c r="COI492" s="106"/>
      <c r="COJ492" s="106"/>
      <c r="COK492" s="106"/>
      <c r="COL492" s="106"/>
      <c r="COM492" s="106"/>
      <c r="CON492" s="106"/>
      <c r="COO492" s="106"/>
      <c r="COP492" s="106"/>
      <c r="COQ492" s="106"/>
      <c r="COR492" s="106"/>
      <c r="COS492" s="106"/>
      <c r="COT492" s="106"/>
      <c r="COU492" s="106"/>
      <c r="COV492" s="106"/>
      <c r="COW492" s="106"/>
      <c r="COX492" s="106"/>
      <c r="COY492" s="106"/>
      <c r="COZ492" s="106"/>
      <c r="CPA492" s="106"/>
      <c r="CPB492" s="106"/>
      <c r="CPC492" s="106"/>
      <c r="CPD492" s="106"/>
      <c r="CPE492" s="106"/>
      <c r="CPF492" s="106"/>
      <c r="CPG492" s="106"/>
      <c r="CPH492" s="106"/>
      <c r="CPI492" s="106"/>
      <c r="CPJ492" s="106"/>
      <c r="CPK492" s="106"/>
      <c r="CPL492" s="106"/>
      <c r="CPM492" s="106"/>
      <c r="CPN492" s="106"/>
      <c r="CPO492" s="106"/>
      <c r="CPP492" s="106"/>
      <c r="CPQ492" s="106"/>
      <c r="CPR492" s="106"/>
      <c r="CPS492" s="106"/>
      <c r="CPT492" s="106"/>
      <c r="CPU492" s="106"/>
      <c r="CPV492" s="106"/>
      <c r="CPW492" s="106"/>
      <c r="CPX492" s="106"/>
      <c r="CPY492" s="106"/>
      <c r="CPZ492" s="106"/>
      <c r="CQA492" s="106"/>
      <c r="CQB492" s="106"/>
      <c r="CQC492" s="106"/>
      <c r="CQD492" s="106"/>
      <c r="CQE492" s="106"/>
      <c r="CQF492" s="106"/>
      <c r="CQG492" s="106"/>
      <c r="CQH492" s="106"/>
      <c r="CQI492" s="106"/>
      <c r="CQJ492" s="106"/>
      <c r="CQK492" s="106"/>
      <c r="CQL492" s="106"/>
      <c r="CQM492" s="106"/>
      <c r="CQN492" s="106"/>
      <c r="CQO492" s="106"/>
      <c r="CQP492" s="106"/>
      <c r="CQQ492" s="106"/>
      <c r="CQR492" s="106"/>
      <c r="CQS492" s="106"/>
      <c r="CQT492" s="106"/>
      <c r="CQU492" s="106"/>
      <c r="CQV492" s="106"/>
      <c r="CQW492" s="106"/>
      <c r="CQX492" s="106"/>
      <c r="CQY492" s="106"/>
      <c r="CQZ492" s="106"/>
      <c r="CRA492" s="106"/>
      <c r="CRB492" s="106"/>
      <c r="CRC492" s="106"/>
      <c r="CRD492" s="106"/>
      <c r="CRE492" s="106"/>
      <c r="CRF492" s="106"/>
      <c r="CRG492" s="106"/>
      <c r="CRH492" s="106"/>
      <c r="CRI492" s="106"/>
      <c r="CRJ492" s="106"/>
      <c r="CRK492" s="106"/>
      <c r="CRL492" s="106"/>
      <c r="CRM492" s="106"/>
      <c r="CRN492" s="106"/>
      <c r="CRO492" s="106"/>
      <c r="CRP492" s="106"/>
      <c r="CRQ492" s="106"/>
      <c r="CRR492" s="106"/>
      <c r="CRS492" s="106"/>
      <c r="CRT492" s="106"/>
      <c r="CRU492" s="106"/>
      <c r="CRV492" s="106"/>
      <c r="CRW492" s="106"/>
      <c r="CRX492" s="106"/>
      <c r="CRY492" s="106"/>
      <c r="CRZ492" s="106"/>
      <c r="CSA492" s="106"/>
      <c r="CSB492" s="106"/>
      <c r="CSC492" s="106"/>
      <c r="CSD492" s="106"/>
      <c r="CSE492" s="106"/>
      <c r="CSF492" s="106"/>
      <c r="CSG492" s="106"/>
      <c r="CSH492" s="106"/>
      <c r="CSI492" s="106"/>
      <c r="CSJ492" s="106"/>
      <c r="CSK492" s="106"/>
      <c r="CSL492" s="106"/>
      <c r="CSM492" s="106"/>
      <c r="CSN492" s="106"/>
      <c r="CSO492" s="106"/>
      <c r="CSP492" s="106"/>
      <c r="CSQ492" s="106"/>
      <c r="CSR492" s="106"/>
      <c r="CSS492" s="106"/>
      <c r="CST492" s="106"/>
      <c r="CSU492" s="106"/>
      <c r="CSV492" s="106"/>
      <c r="CSW492" s="106"/>
      <c r="CSX492" s="106"/>
      <c r="CSY492" s="106"/>
      <c r="CSZ492" s="106"/>
      <c r="CTA492" s="106"/>
      <c r="CTB492" s="106"/>
      <c r="CTC492" s="106"/>
      <c r="CTD492" s="106"/>
      <c r="CTE492" s="106"/>
      <c r="CTF492" s="106"/>
      <c r="CTG492" s="106"/>
      <c r="CTH492" s="106"/>
      <c r="CTI492" s="106"/>
      <c r="CTJ492" s="106"/>
      <c r="CTK492" s="106"/>
      <c r="CTL492" s="106"/>
      <c r="CTM492" s="106"/>
      <c r="CTN492" s="106"/>
      <c r="CTO492" s="106"/>
      <c r="CTP492" s="106"/>
      <c r="CTQ492" s="106"/>
      <c r="CTR492" s="106"/>
      <c r="CTS492" s="106"/>
      <c r="CTT492" s="106"/>
      <c r="CTU492" s="106"/>
      <c r="CTV492" s="106"/>
      <c r="CTW492" s="106"/>
      <c r="CTX492" s="106"/>
      <c r="CTY492" s="106"/>
      <c r="CTZ492" s="106"/>
      <c r="CUA492" s="106"/>
      <c r="CUB492" s="106"/>
      <c r="CUC492" s="106"/>
      <c r="CUD492" s="106"/>
      <c r="CUE492" s="106"/>
      <c r="CUF492" s="106"/>
      <c r="CUG492" s="106"/>
      <c r="CUH492" s="106"/>
      <c r="CUI492" s="106"/>
      <c r="CUJ492" s="106"/>
      <c r="CUK492" s="106"/>
      <c r="CUL492" s="106"/>
      <c r="CUM492" s="106"/>
      <c r="CUN492" s="106"/>
      <c r="CUO492" s="106"/>
      <c r="CUP492" s="106"/>
      <c r="CUQ492" s="106"/>
      <c r="CUR492" s="106"/>
      <c r="CUS492" s="106"/>
      <c r="CUT492" s="106"/>
      <c r="CUU492" s="106"/>
      <c r="CUV492" s="106"/>
      <c r="CUW492" s="106"/>
      <c r="CUX492" s="106"/>
      <c r="CUY492" s="106"/>
      <c r="CUZ492" s="106"/>
      <c r="CVA492" s="106"/>
      <c r="CVB492" s="106"/>
      <c r="CVC492" s="106"/>
      <c r="CVD492" s="106"/>
      <c r="CVE492" s="106"/>
      <c r="CVF492" s="106"/>
      <c r="CVG492" s="106"/>
      <c r="CVH492" s="106"/>
      <c r="CVI492" s="106"/>
      <c r="CVJ492" s="106"/>
      <c r="CVK492" s="106"/>
      <c r="CVL492" s="106"/>
      <c r="CVM492" s="106"/>
      <c r="CVN492" s="106"/>
      <c r="CVO492" s="106"/>
      <c r="CVP492" s="106"/>
      <c r="CVQ492" s="106"/>
      <c r="CVR492" s="106"/>
      <c r="CVS492" s="106"/>
      <c r="CVT492" s="106"/>
      <c r="CVU492" s="106"/>
      <c r="CVV492" s="106"/>
      <c r="CVW492" s="106"/>
      <c r="CVX492" s="106"/>
      <c r="CVY492" s="106"/>
      <c r="CVZ492" s="106"/>
      <c r="CWA492" s="106"/>
      <c r="CWB492" s="106"/>
      <c r="CWC492" s="106"/>
      <c r="CWD492" s="106"/>
      <c r="CWE492" s="106"/>
      <c r="CWF492" s="106"/>
      <c r="CWG492" s="106"/>
      <c r="CWH492" s="106"/>
      <c r="CWI492" s="106"/>
      <c r="CWJ492" s="106"/>
      <c r="CWK492" s="106"/>
      <c r="CWL492" s="106"/>
      <c r="CWM492" s="106"/>
      <c r="CWN492" s="106"/>
      <c r="CWO492" s="106"/>
      <c r="CWP492" s="106"/>
      <c r="CWQ492" s="106"/>
      <c r="CWR492" s="106"/>
      <c r="CWS492" s="106"/>
      <c r="CWT492" s="106"/>
      <c r="CWU492" s="106"/>
      <c r="CWV492" s="106"/>
      <c r="CWW492" s="106"/>
      <c r="CWX492" s="106"/>
      <c r="CWY492" s="106"/>
      <c r="CWZ492" s="106"/>
      <c r="CXA492" s="106"/>
      <c r="CXB492" s="106"/>
      <c r="CXC492" s="106"/>
      <c r="CXD492" s="106"/>
      <c r="CXE492" s="106"/>
      <c r="CXF492" s="106"/>
      <c r="CXG492" s="106"/>
      <c r="CXH492" s="106"/>
      <c r="CXI492" s="106"/>
      <c r="CXJ492" s="106"/>
      <c r="CXK492" s="106"/>
      <c r="CXL492" s="106"/>
      <c r="CXM492" s="106"/>
      <c r="CXN492" s="106"/>
      <c r="CXO492" s="106"/>
      <c r="CXP492" s="106"/>
      <c r="CXQ492" s="106"/>
      <c r="CXR492" s="106"/>
      <c r="CXS492" s="106"/>
      <c r="CXT492" s="106"/>
      <c r="CXU492" s="106"/>
      <c r="CXV492" s="106"/>
      <c r="CXW492" s="106"/>
      <c r="CXX492" s="106"/>
      <c r="CXY492" s="106"/>
      <c r="CXZ492" s="106"/>
      <c r="CYA492" s="106"/>
      <c r="CYB492" s="106"/>
      <c r="CYC492" s="106"/>
      <c r="CYD492" s="106"/>
      <c r="CYE492" s="106"/>
      <c r="CYF492" s="106"/>
      <c r="CYG492" s="106"/>
      <c r="CYH492" s="106"/>
      <c r="CYI492" s="106"/>
      <c r="CYJ492" s="106"/>
      <c r="CYK492" s="106"/>
      <c r="CYL492" s="106"/>
      <c r="CYM492" s="106"/>
      <c r="CYN492" s="106"/>
      <c r="CYO492" s="106"/>
      <c r="CYP492" s="106"/>
      <c r="CYQ492" s="106"/>
      <c r="CYR492" s="106"/>
      <c r="CYS492" s="106"/>
      <c r="CYT492" s="106"/>
      <c r="CYU492" s="106"/>
      <c r="CYV492" s="106"/>
      <c r="CYW492" s="106"/>
      <c r="CYX492" s="106"/>
      <c r="CYY492" s="106"/>
      <c r="CYZ492" s="106"/>
      <c r="CZA492" s="106"/>
      <c r="CZB492" s="106"/>
      <c r="CZC492" s="106"/>
      <c r="CZD492" s="106"/>
      <c r="CZE492" s="106"/>
      <c r="CZF492" s="106"/>
      <c r="CZG492" s="106"/>
      <c r="CZH492" s="106"/>
      <c r="CZI492" s="106"/>
      <c r="CZJ492" s="106"/>
      <c r="CZK492" s="106"/>
      <c r="CZL492" s="106"/>
      <c r="CZM492" s="106"/>
      <c r="CZN492" s="106"/>
      <c r="CZO492" s="106"/>
      <c r="CZP492" s="106"/>
      <c r="CZQ492" s="106"/>
      <c r="CZR492" s="106"/>
      <c r="CZS492" s="106"/>
      <c r="CZT492" s="106"/>
      <c r="CZU492" s="106"/>
      <c r="CZV492" s="106"/>
      <c r="CZW492" s="106"/>
      <c r="CZX492" s="106"/>
      <c r="CZY492" s="106"/>
      <c r="CZZ492" s="106"/>
      <c r="DAA492" s="106"/>
      <c r="DAB492" s="106"/>
      <c r="DAC492" s="106"/>
      <c r="DAD492" s="106"/>
      <c r="DAE492" s="106"/>
      <c r="DAF492" s="106"/>
      <c r="DAG492" s="106"/>
      <c r="DAH492" s="106"/>
      <c r="DAI492" s="106"/>
      <c r="DAJ492" s="106"/>
      <c r="DAK492" s="106"/>
      <c r="DAL492" s="106"/>
      <c r="DAM492" s="106"/>
      <c r="DAN492" s="106"/>
      <c r="DAO492" s="106"/>
      <c r="DAP492" s="106"/>
      <c r="DAQ492" s="106"/>
      <c r="DAR492" s="106"/>
      <c r="DAS492" s="106"/>
      <c r="DAT492" s="106"/>
      <c r="DAU492" s="106"/>
      <c r="DAV492" s="106"/>
      <c r="DAW492" s="106"/>
      <c r="DAX492" s="106"/>
      <c r="DAY492" s="106"/>
      <c r="DAZ492" s="106"/>
      <c r="DBA492" s="106"/>
      <c r="DBB492" s="106"/>
      <c r="DBC492" s="106"/>
      <c r="DBD492" s="106"/>
      <c r="DBE492" s="106"/>
      <c r="DBF492" s="106"/>
      <c r="DBG492" s="106"/>
      <c r="DBH492" s="106"/>
      <c r="DBI492" s="106"/>
      <c r="DBJ492" s="106"/>
      <c r="DBK492" s="106"/>
      <c r="DBL492" s="106"/>
      <c r="DBM492" s="106"/>
      <c r="DBN492" s="106"/>
      <c r="DBO492" s="106"/>
      <c r="DBP492" s="106"/>
      <c r="DBQ492" s="106"/>
      <c r="DBR492" s="106"/>
      <c r="DBS492" s="106"/>
      <c r="DBT492" s="106"/>
      <c r="DBU492" s="106"/>
      <c r="DBV492" s="106"/>
      <c r="DBW492" s="106"/>
      <c r="DBX492" s="106"/>
      <c r="DBY492" s="106"/>
      <c r="DBZ492" s="106"/>
      <c r="DCA492" s="106"/>
      <c r="DCB492" s="106"/>
      <c r="DCC492" s="106"/>
      <c r="DCD492" s="106"/>
      <c r="DCE492" s="106"/>
      <c r="DCF492" s="106"/>
      <c r="DCG492" s="106"/>
      <c r="DCH492" s="106"/>
      <c r="DCI492" s="106"/>
      <c r="DCJ492" s="106"/>
      <c r="DCK492" s="106"/>
      <c r="DCL492" s="106"/>
      <c r="DCM492" s="106"/>
      <c r="DCN492" s="106"/>
      <c r="DCO492" s="106"/>
      <c r="DCP492" s="106"/>
      <c r="DCQ492" s="106"/>
      <c r="DCR492" s="106"/>
      <c r="DCS492" s="106"/>
      <c r="DCT492" s="106"/>
      <c r="DCU492" s="106"/>
      <c r="DCV492" s="106"/>
      <c r="DCW492" s="106"/>
      <c r="DCX492" s="106"/>
      <c r="DCY492" s="106"/>
      <c r="DCZ492" s="106"/>
      <c r="DDA492" s="106"/>
      <c r="DDB492" s="106"/>
      <c r="DDC492" s="106"/>
      <c r="DDD492" s="106"/>
      <c r="DDE492" s="106"/>
      <c r="DDF492" s="106"/>
      <c r="DDG492" s="106"/>
      <c r="DDH492" s="106"/>
      <c r="DDI492" s="106"/>
      <c r="DDJ492" s="106"/>
      <c r="DDK492" s="106"/>
      <c r="DDL492" s="106"/>
      <c r="DDM492" s="106"/>
      <c r="DDN492" s="106"/>
      <c r="DDO492" s="106"/>
      <c r="DDP492" s="106"/>
      <c r="DDQ492" s="106"/>
      <c r="DDR492" s="106"/>
      <c r="DDS492" s="106"/>
      <c r="DDT492" s="106"/>
      <c r="DDU492" s="106"/>
      <c r="DDV492" s="106"/>
      <c r="DDW492" s="106"/>
      <c r="DDX492" s="106"/>
      <c r="DDY492" s="106"/>
      <c r="DDZ492" s="106"/>
      <c r="DEA492" s="106"/>
      <c r="DEB492" s="106"/>
      <c r="DEC492" s="106"/>
      <c r="DED492" s="106"/>
      <c r="DEE492" s="106"/>
      <c r="DEF492" s="106"/>
      <c r="DEG492" s="106"/>
      <c r="DEH492" s="106"/>
      <c r="DEI492" s="106"/>
      <c r="DEJ492" s="106"/>
      <c r="DEK492" s="106"/>
      <c r="DEL492" s="106"/>
      <c r="DEM492" s="106"/>
      <c r="DEN492" s="106"/>
      <c r="DEO492" s="106"/>
      <c r="DEP492" s="106"/>
      <c r="DEQ492" s="106"/>
      <c r="DER492" s="106"/>
      <c r="DES492" s="106"/>
      <c r="DET492" s="106"/>
      <c r="DEU492" s="106"/>
      <c r="DEV492" s="106"/>
      <c r="DEW492" s="106"/>
      <c r="DEX492" s="106"/>
      <c r="DEY492" s="106"/>
      <c r="DEZ492" s="106"/>
      <c r="DFA492" s="106"/>
      <c r="DFB492" s="106"/>
      <c r="DFC492" s="106"/>
      <c r="DFD492" s="106"/>
      <c r="DFE492" s="106"/>
      <c r="DFF492" s="106"/>
      <c r="DFG492" s="106"/>
      <c r="DFH492" s="106"/>
      <c r="DFI492" s="106"/>
      <c r="DFJ492" s="106"/>
      <c r="DFK492" s="106"/>
      <c r="DFL492" s="106"/>
      <c r="DFM492" s="106"/>
      <c r="DFN492" s="106"/>
      <c r="DFO492" s="106"/>
      <c r="DFP492" s="106"/>
      <c r="DFQ492" s="106"/>
      <c r="DFR492" s="106"/>
      <c r="DFS492" s="106"/>
      <c r="DFT492" s="106"/>
      <c r="DFU492" s="106"/>
      <c r="DFV492" s="106"/>
      <c r="DFW492" s="106"/>
      <c r="DFX492" s="106"/>
      <c r="DFY492" s="106"/>
      <c r="DFZ492" s="106"/>
      <c r="DGA492" s="106"/>
      <c r="DGB492" s="106"/>
      <c r="DGC492" s="106"/>
      <c r="DGD492" s="106"/>
      <c r="DGE492" s="106"/>
      <c r="DGF492" s="106"/>
      <c r="DGG492" s="106"/>
      <c r="DGH492" s="106"/>
      <c r="DGI492" s="106"/>
      <c r="DGJ492" s="106"/>
      <c r="DGK492" s="106"/>
      <c r="DGL492" s="106"/>
      <c r="DGM492" s="106"/>
      <c r="DGN492" s="106"/>
      <c r="DGO492" s="106"/>
      <c r="DGP492" s="106"/>
      <c r="DGQ492" s="106"/>
      <c r="DGR492" s="106"/>
      <c r="DGS492" s="106"/>
      <c r="DGT492" s="106"/>
      <c r="DGU492" s="106"/>
      <c r="DGV492" s="106"/>
      <c r="DGW492" s="106"/>
      <c r="DGX492" s="106"/>
      <c r="DGY492" s="106"/>
      <c r="DGZ492" s="106"/>
      <c r="DHA492" s="106"/>
      <c r="DHB492" s="106"/>
      <c r="DHC492" s="106"/>
      <c r="DHD492" s="106"/>
      <c r="DHE492" s="106"/>
      <c r="DHF492" s="106"/>
      <c r="DHG492" s="106"/>
      <c r="DHH492" s="106"/>
      <c r="DHI492" s="106"/>
      <c r="DHJ492" s="106"/>
      <c r="DHK492" s="106"/>
      <c r="DHL492" s="106"/>
      <c r="DHM492" s="106"/>
      <c r="DHN492" s="106"/>
      <c r="DHO492" s="106"/>
      <c r="DHP492" s="106"/>
      <c r="DHQ492" s="106"/>
      <c r="DHR492" s="106"/>
      <c r="DHS492" s="106"/>
      <c r="DHT492" s="106"/>
      <c r="DHU492" s="106"/>
      <c r="DHV492" s="106"/>
      <c r="DHW492" s="106"/>
      <c r="DHX492" s="106"/>
      <c r="DHY492" s="106"/>
      <c r="DHZ492" s="106"/>
      <c r="DIA492" s="106"/>
      <c r="DIB492" s="106"/>
      <c r="DIC492" s="106"/>
      <c r="DID492" s="106"/>
      <c r="DIE492" s="106"/>
      <c r="DIF492" s="106"/>
      <c r="DIG492" s="106"/>
      <c r="DIH492" s="106"/>
      <c r="DII492" s="106"/>
      <c r="DIJ492" s="106"/>
      <c r="DIK492" s="106"/>
      <c r="DIL492" s="106"/>
      <c r="DIM492" s="106"/>
      <c r="DIN492" s="106"/>
      <c r="DIO492" s="106"/>
      <c r="DIP492" s="106"/>
      <c r="DIQ492" s="106"/>
      <c r="DIR492" s="106"/>
      <c r="DIS492" s="106"/>
      <c r="DIT492" s="106"/>
      <c r="DIU492" s="106"/>
      <c r="DIV492" s="106"/>
      <c r="DIW492" s="106"/>
      <c r="DIX492" s="106"/>
      <c r="DIY492" s="106"/>
      <c r="DIZ492" s="106"/>
      <c r="DJA492" s="106"/>
      <c r="DJB492" s="106"/>
      <c r="DJC492" s="106"/>
      <c r="DJD492" s="106"/>
      <c r="DJE492" s="106"/>
      <c r="DJF492" s="106"/>
      <c r="DJG492" s="106"/>
      <c r="DJH492" s="106"/>
      <c r="DJI492" s="106"/>
      <c r="DJJ492" s="106"/>
      <c r="DJK492" s="106"/>
      <c r="DJL492" s="106"/>
      <c r="DJM492" s="106"/>
      <c r="DJN492" s="106"/>
      <c r="DJO492" s="106"/>
      <c r="DJP492" s="106"/>
      <c r="DJQ492" s="106"/>
      <c r="DJR492" s="106"/>
      <c r="DJS492" s="106"/>
      <c r="DJT492" s="106"/>
      <c r="DJU492" s="106"/>
      <c r="DJV492" s="106"/>
      <c r="DJW492" s="106"/>
      <c r="DJX492" s="106"/>
      <c r="DJY492" s="106"/>
      <c r="DJZ492" s="106"/>
      <c r="DKA492" s="106"/>
      <c r="DKB492" s="106"/>
      <c r="DKC492" s="106"/>
      <c r="DKD492" s="106"/>
      <c r="DKE492" s="106"/>
      <c r="DKF492" s="106"/>
      <c r="DKG492" s="106"/>
      <c r="DKH492" s="106"/>
      <c r="DKI492" s="106"/>
      <c r="DKJ492" s="106"/>
      <c r="DKK492" s="106"/>
      <c r="DKL492" s="106"/>
      <c r="DKM492" s="106"/>
      <c r="DKN492" s="106"/>
      <c r="DKO492" s="106"/>
      <c r="DKP492" s="106"/>
      <c r="DKQ492" s="106"/>
      <c r="DKR492" s="106"/>
      <c r="DKS492" s="106"/>
      <c r="DKT492" s="106"/>
      <c r="DKU492" s="106"/>
      <c r="DKV492" s="106"/>
      <c r="DKW492" s="106"/>
      <c r="DKX492" s="106"/>
      <c r="DKY492" s="106"/>
      <c r="DKZ492" s="106"/>
      <c r="DLA492" s="106"/>
      <c r="DLB492" s="106"/>
      <c r="DLC492" s="106"/>
      <c r="DLD492" s="106"/>
      <c r="DLE492" s="106"/>
      <c r="DLF492" s="106"/>
      <c r="DLG492" s="106"/>
      <c r="DLH492" s="106"/>
      <c r="DLI492" s="106"/>
      <c r="DLJ492" s="106"/>
      <c r="DLK492" s="106"/>
      <c r="DLL492" s="106"/>
      <c r="DLM492" s="106"/>
      <c r="DLN492" s="106"/>
      <c r="DLO492" s="106"/>
      <c r="DLP492" s="106"/>
      <c r="DLQ492" s="106"/>
      <c r="DLR492" s="106"/>
      <c r="DLS492" s="106"/>
      <c r="DLT492" s="106"/>
      <c r="DLU492" s="106"/>
      <c r="DLV492" s="106"/>
      <c r="DLW492" s="106"/>
      <c r="DLX492" s="106"/>
      <c r="DLY492" s="106"/>
      <c r="DLZ492" s="106"/>
      <c r="DMA492" s="106"/>
      <c r="DMB492" s="106"/>
      <c r="DMC492" s="106"/>
      <c r="DMD492" s="106"/>
      <c r="DME492" s="106"/>
      <c r="DMF492" s="106"/>
      <c r="DMG492" s="106"/>
      <c r="DMH492" s="106"/>
      <c r="DMI492" s="106"/>
      <c r="DMJ492" s="106"/>
      <c r="DMK492" s="106"/>
      <c r="DML492" s="106"/>
      <c r="DMM492" s="106"/>
      <c r="DMN492" s="106"/>
      <c r="DMO492" s="106"/>
      <c r="DMP492" s="106"/>
      <c r="DMQ492" s="106"/>
      <c r="DMR492" s="106"/>
      <c r="DMS492" s="106"/>
      <c r="DMT492" s="106"/>
      <c r="DMU492" s="106"/>
      <c r="DMV492" s="106"/>
      <c r="DMW492" s="106"/>
      <c r="DMX492" s="106"/>
      <c r="DMY492" s="106"/>
      <c r="DMZ492" s="106"/>
      <c r="DNA492" s="106"/>
      <c r="DNB492" s="106"/>
      <c r="DNC492" s="106"/>
      <c r="DND492" s="106"/>
      <c r="DNE492" s="106"/>
      <c r="DNF492" s="106"/>
      <c r="DNG492" s="106"/>
      <c r="DNH492" s="106"/>
      <c r="DNI492" s="106"/>
      <c r="DNJ492" s="106"/>
      <c r="DNK492" s="106"/>
      <c r="DNL492" s="106"/>
      <c r="DNM492" s="106"/>
      <c r="DNN492" s="106"/>
      <c r="DNO492" s="106"/>
      <c r="DNP492" s="106"/>
      <c r="DNQ492" s="106"/>
      <c r="DNR492" s="106"/>
      <c r="DNS492" s="106"/>
      <c r="DNT492" s="106"/>
      <c r="DNU492" s="106"/>
      <c r="DNV492" s="106"/>
      <c r="DNW492" s="106"/>
      <c r="DNX492" s="106"/>
      <c r="DNY492" s="106"/>
      <c r="DNZ492" s="106"/>
      <c r="DOA492" s="106"/>
      <c r="DOB492" s="106"/>
      <c r="DOC492" s="106"/>
      <c r="DOD492" s="106"/>
      <c r="DOE492" s="106"/>
      <c r="DOF492" s="106"/>
      <c r="DOG492" s="106"/>
      <c r="DOH492" s="106"/>
      <c r="DOI492" s="106"/>
      <c r="DOJ492" s="106"/>
      <c r="DOK492" s="106"/>
      <c r="DOL492" s="106"/>
      <c r="DOM492" s="106"/>
      <c r="DON492" s="106"/>
      <c r="DOO492" s="106"/>
      <c r="DOP492" s="106"/>
      <c r="DOQ492" s="106"/>
      <c r="DOR492" s="106"/>
      <c r="DOS492" s="106"/>
      <c r="DOT492" s="106"/>
      <c r="DOU492" s="106"/>
      <c r="DOV492" s="106"/>
      <c r="DOW492" s="106"/>
      <c r="DOX492" s="106"/>
      <c r="DOY492" s="106"/>
      <c r="DOZ492" s="106"/>
      <c r="DPA492" s="106"/>
      <c r="DPB492" s="106"/>
      <c r="DPC492" s="106"/>
      <c r="DPD492" s="106"/>
      <c r="DPE492" s="106"/>
      <c r="DPF492" s="106"/>
      <c r="DPG492" s="106"/>
      <c r="DPH492" s="106"/>
      <c r="DPI492" s="106"/>
      <c r="DPJ492" s="106"/>
      <c r="DPK492" s="106"/>
      <c r="DPL492" s="106"/>
      <c r="DPM492" s="106"/>
      <c r="DPN492" s="106"/>
      <c r="DPO492" s="106"/>
      <c r="DPP492" s="106"/>
      <c r="DPQ492" s="106"/>
      <c r="DPR492" s="106"/>
      <c r="DPS492" s="106"/>
      <c r="DPT492" s="106"/>
      <c r="DPU492" s="106"/>
      <c r="DPV492" s="106"/>
      <c r="DPW492" s="106"/>
      <c r="DPX492" s="106"/>
      <c r="DPY492" s="106"/>
      <c r="DPZ492" s="106"/>
      <c r="DQA492" s="106"/>
      <c r="DQB492" s="106"/>
      <c r="DQC492" s="106"/>
      <c r="DQD492" s="106"/>
      <c r="DQE492" s="106"/>
      <c r="DQF492" s="106"/>
      <c r="DQG492" s="106"/>
      <c r="DQH492" s="106"/>
      <c r="DQI492" s="106"/>
      <c r="DQJ492" s="106"/>
      <c r="DQK492" s="106"/>
      <c r="DQL492" s="106"/>
      <c r="DQM492" s="106"/>
      <c r="DQN492" s="106"/>
      <c r="DQO492" s="106"/>
      <c r="DQP492" s="106"/>
      <c r="DQQ492" s="106"/>
      <c r="DQR492" s="106"/>
      <c r="DQS492" s="106"/>
      <c r="DQT492" s="106"/>
      <c r="DQU492" s="106"/>
      <c r="DQV492" s="106"/>
      <c r="DQW492" s="106"/>
      <c r="DQX492" s="106"/>
      <c r="DQY492" s="106"/>
      <c r="DQZ492" s="106"/>
      <c r="DRA492" s="106"/>
      <c r="DRB492" s="106"/>
      <c r="DRC492" s="106"/>
      <c r="DRD492" s="106"/>
      <c r="DRE492" s="106"/>
      <c r="DRF492" s="106"/>
      <c r="DRG492" s="106"/>
      <c r="DRH492" s="106"/>
      <c r="DRI492" s="106"/>
      <c r="DRJ492" s="106"/>
      <c r="DRK492" s="106"/>
      <c r="DRL492" s="106"/>
      <c r="DRM492" s="106"/>
      <c r="DRN492" s="106"/>
      <c r="DRO492" s="106"/>
      <c r="DRP492" s="106"/>
      <c r="DRQ492" s="106"/>
      <c r="DRR492" s="106"/>
      <c r="DRS492" s="106"/>
      <c r="DRT492" s="106"/>
      <c r="DRU492" s="106"/>
      <c r="DRV492" s="106"/>
      <c r="DRW492" s="106"/>
      <c r="DRX492" s="106"/>
      <c r="DRY492" s="106"/>
      <c r="DRZ492" s="106"/>
      <c r="DSA492" s="106"/>
      <c r="DSB492" s="106"/>
      <c r="DSC492" s="106"/>
      <c r="DSD492" s="106"/>
      <c r="DSE492" s="106"/>
      <c r="DSF492" s="106"/>
      <c r="DSG492" s="106"/>
      <c r="DSH492" s="106"/>
      <c r="DSI492" s="106"/>
      <c r="DSJ492" s="106"/>
      <c r="DSK492" s="106"/>
      <c r="DSL492" s="106"/>
      <c r="DSM492" s="106"/>
      <c r="DSN492" s="106"/>
      <c r="DSO492" s="106"/>
      <c r="DSP492" s="106"/>
      <c r="DSQ492" s="106"/>
      <c r="DSR492" s="106"/>
      <c r="DSS492" s="106"/>
      <c r="DST492" s="106"/>
      <c r="DSU492" s="106"/>
      <c r="DSV492" s="106"/>
      <c r="DSW492" s="106"/>
      <c r="DSX492" s="106"/>
      <c r="DSY492" s="106"/>
      <c r="DSZ492" s="106"/>
      <c r="DTA492" s="106"/>
      <c r="DTB492" s="106"/>
      <c r="DTC492" s="106"/>
      <c r="DTD492" s="106"/>
      <c r="DTE492" s="106"/>
      <c r="DTF492" s="106"/>
      <c r="DTG492" s="106"/>
      <c r="DTH492" s="106"/>
      <c r="DTI492" s="106"/>
      <c r="DTJ492" s="106"/>
      <c r="DTK492" s="106"/>
      <c r="DTL492" s="106"/>
      <c r="DTM492" s="106"/>
      <c r="DTN492" s="106"/>
      <c r="DTO492" s="106"/>
      <c r="DTP492" s="106"/>
      <c r="DTQ492" s="106"/>
      <c r="DTR492" s="106"/>
      <c r="DTS492" s="106"/>
      <c r="DTT492" s="106"/>
      <c r="DTU492" s="106"/>
      <c r="DTV492" s="106"/>
      <c r="DTW492" s="106"/>
      <c r="DTX492" s="106"/>
      <c r="DTY492" s="106"/>
      <c r="DTZ492" s="106"/>
      <c r="DUA492" s="106"/>
      <c r="DUB492" s="106"/>
      <c r="DUC492" s="106"/>
      <c r="DUD492" s="106"/>
      <c r="DUE492" s="106"/>
      <c r="DUF492" s="106"/>
      <c r="DUG492" s="106"/>
      <c r="DUH492" s="106"/>
      <c r="DUI492" s="106"/>
      <c r="DUJ492" s="106"/>
      <c r="DUK492" s="106"/>
      <c r="DUL492" s="106"/>
      <c r="DUM492" s="106"/>
      <c r="DUN492" s="106"/>
      <c r="DUO492" s="106"/>
      <c r="DUP492" s="106"/>
      <c r="DUQ492" s="106"/>
      <c r="DUR492" s="106"/>
      <c r="DUS492" s="106"/>
      <c r="DUT492" s="106"/>
      <c r="DUU492" s="106"/>
      <c r="DUV492" s="106"/>
      <c r="DUW492" s="106"/>
      <c r="DUX492" s="106"/>
      <c r="DUY492" s="106"/>
      <c r="DUZ492" s="106"/>
      <c r="DVA492" s="106"/>
      <c r="DVB492" s="106"/>
      <c r="DVC492" s="106"/>
      <c r="DVD492" s="106"/>
      <c r="DVE492" s="106"/>
      <c r="DVF492" s="106"/>
      <c r="DVG492" s="106"/>
      <c r="DVH492" s="106"/>
      <c r="DVI492" s="106"/>
      <c r="DVJ492" s="106"/>
      <c r="DVK492" s="106"/>
      <c r="DVL492" s="106"/>
      <c r="DVM492" s="106"/>
      <c r="DVN492" s="106"/>
      <c r="DVO492" s="106"/>
      <c r="DVP492" s="106"/>
      <c r="DVQ492" s="106"/>
      <c r="DVR492" s="106"/>
      <c r="DVS492" s="106"/>
      <c r="DVT492" s="106"/>
      <c r="DVU492" s="106"/>
      <c r="DVV492" s="106"/>
      <c r="DVW492" s="106"/>
      <c r="DVX492" s="106"/>
      <c r="DVY492" s="106"/>
      <c r="DVZ492" s="106"/>
      <c r="DWA492" s="106"/>
      <c r="DWB492" s="106"/>
      <c r="DWC492" s="106"/>
      <c r="DWD492" s="106"/>
      <c r="DWE492" s="106"/>
      <c r="DWF492" s="106"/>
      <c r="DWG492" s="106"/>
      <c r="DWH492" s="106"/>
      <c r="DWI492" s="106"/>
      <c r="DWJ492" s="106"/>
      <c r="DWK492" s="106"/>
      <c r="DWL492" s="106"/>
      <c r="DWM492" s="106"/>
      <c r="DWN492" s="106"/>
      <c r="DWO492" s="106"/>
      <c r="DWP492" s="106"/>
      <c r="DWQ492" s="106"/>
      <c r="DWR492" s="106"/>
      <c r="DWS492" s="106"/>
      <c r="DWT492" s="106"/>
      <c r="DWU492" s="106"/>
      <c r="DWV492" s="106"/>
      <c r="DWW492" s="106"/>
      <c r="DWX492" s="106"/>
      <c r="DWY492" s="106"/>
      <c r="DWZ492" s="106"/>
      <c r="DXA492" s="106"/>
      <c r="DXB492" s="106"/>
      <c r="DXC492" s="106"/>
      <c r="DXD492" s="106"/>
      <c r="DXE492" s="106"/>
      <c r="DXF492" s="106"/>
      <c r="DXG492" s="106"/>
      <c r="DXH492" s="106"/>
      <c r="DXI492" s="106"/>
      <c r="DXJ492" s="106"/>
      <c r="DXK492" s="106"/>
      <c r="DXL492" s="106"/>
      <c r="DXM492" s="106"/>
      <c r="DXN492" s="106"/>
      <c r="DXO492" s="106"/>
      <c r="DXP492" s="106"/>
      <c r="DXQ492" s="106"/>
      <c r="DXR492" s="106"/>
      <c r="DXS492" s="106"/>
      <c r="DXT492" s="106"/>
      <c r="DXU492" s="106"/>
      <c r="DXV492" s="106"/>
      <c r="DXW492" s="106"/>
      <c r="DXX492" s="106"/>
      <c r="DXY492" s="106"/>
      <c r="DXZ492" s="106"/>
      <c r="DYA492" s="106"/>
      <c r="DYB492" s="106"/>
      <c r="DYC492" s="106"/>
      <c r="DYD492" s="106"/>
      <c r="DYE492" s="106"/>
      <c r="DYF492" s="106"/>
      <c r="DYG492" s="106"/>
      <c r="DYH492" s="106"/>
      <c r="DYI492" s="106"/>
      <c r="DYJ492" s="106"/>
      <c r="DYK492" s="106"/>
      <c r="DYL492" s="106"/>
      <c r="DYM492" s="106"/>
      <c r="DYN492" s="106"/>
      <c r="DYO492" s="106"/>
      <c r="DYP492" s="106"/>
      <c r="DYQ492" s="106"/>
      <c r="DYR492" s="106"/>
      <c r="DYS492" s="106"/>
      <c r="DYT492" s="106"/>
      <c r="DYU492" s="106"/>
      <c r="DYV492" s="106"/>
      <c r="DYW492" s="106"/>
      <c r="DYX492" s="106"/>
      <c r="DYY492" s="106"/>
      <c r="DYZ492" s="106"/>
      <c r="DZA492" s="106"/>
      <c r="DZB492" s="106"/>
      <c r="DZC492" s="106"/>
      <c r="DZD492" s="106"/>
      <c r="DZE492" s="106"/>
      <c r="DZF492" s="106"/>
      <c r="DZG492" s="106"/>
      <c r="DZH492" s="106"/>
      <c r="DZI492" s="106"/>
      <c r="DZJ492" s="106"/>
      <c r="DZK492" s="106"/>
      <c r="DZL492" s="106"/>
      <c r="DZM492" s="106"/>
      <c r="DZN492" s="106"/>
      <c r="DZO492" s="106"/>
      <c r="DZP492" s="106"/>
      <c r="DZQ492" s="106"/>
      <c r="DZR492" s="106"/>
      <c r="DZS492" s="106"/>
      <c r="DZT492" s="106"/>
      <c r="DZU492" s="106"/>
      <c r="DZV492" s="106"/>
      <c r="DZW492" s="106"/>
      <c r="DZX492" s="106"/>
      <c r="DZY492" s="106"/>
      <c r="DZZ492" s="106"/>
      <c r="EAA492" s="106"/>
      <c r="EAB492" s="106"/>
      <c r="EAC492" s="106"/>
      <c r="EAD492" s="106"/>
      <c r="EAE492" s="106"/>
      <c r="EAF492" s="106"/>
      <c r="EAG492" s="106"/>
      <c r="EAH492" s="106"/>
      <c r="EAI492" s="106"/>
      <c r="EAJ492" s="106"/>
      <c r="EAK492" s="106"/>
      <c r="EAL492" s="106"/>
      <c r="EAM492" s="106"/>
      <c r="EAN492" s="106"/>
      <c r="EAO492" s="106"/>
      <c r="EAP492" s="106"/>
      <c r="EAQ492" s="106"/>
      <c r="EAR492" s="106"/>
      <c r="EAS492" s="106"/>
      <c r="EAT492" s="106"/>
      <c r="EAU492" s="106"/>
      <c r="EAV492" s="106"/>
      <c r="EAW492" s="106"/>
      <c r="EAX492" s="106"/>
      <c r="EAY492" s="106"/>
      <c r="EAZ492" s="106"/>
      <c r="EBA492" s="106"/>
      <c r="EBB492" s="106"/>
      <c r="EBC492" s="106"/>
      <c r="EBD492" s="106"/>
      <c r="EBE492" s="106"/>
      <c r="EBF492" s="106"/>
      <c r="EBG492" s="106"/>
      <c r="EBH492" s="106"/>
      <c r="EBI492" s="106"/>
      <c r="EBJ492" s="106"/>
      <c r="EBK492" s="106"/>
      <c r="EBL492" s="106"/>
      <c r="EBM492" s="106"/>
      <c r="EBN492" s="106"/>
      <c r="EBO492" s="106"/>
      <c r="EBP492" s="106"/>
      <c r="EBQ492" s="106"/>
      <c r="EBR492" s="106"/>
      <c r="EBS492" s="106"/>
      <c r="EBT492" s="106"/>
      <c r="EBU492" s="106"/>
      <c r="EBV492" s="106"/>
      <c r="EBW492" s="106"/>
      <c r="EBX492" s="106"/>
      <c r="EBY492" s="106"/>
      <c r="EBZ492" s="106"/>
      <c r="ECA492" s="106"/>
      <c r="ECB492" s="106"/>
      <c r="ECC492" s="106"/>
      <c r="ECD492" s="106"/>
      <c r="ECE492" s="106"/>
      <c r="ECF492" s="106"/>
      <c r="ECG492" s="106"/>
      <c r="ECH492" s="106"/>
      <c r="ECI492" s="106"/>
      <c r="ECJ492" s="106"/>
      <c r="ECK492" s="106"/>
      <c r="ECL492" s="106"/>
      <c r="ECM492" s="106"/>
      <c r="ECN492" s="106"/>
      <c r="ECO492" s="106"/>
      <c r="ECP492" s="106"/>
      <c r="ECQ492" s="106"/>
      <c r="ECR492" s="106"/>
      <c r="ECS492" s="106"/>
      <c r="ECT492" s="106"/>
      <c r="ECU492" s="106"/>
      <c r="ECV492" s="106"/>
      <c r="ECW492" s="106"/>
      <c r="ECX492" s="106"/>
      <c r="ECY492" s="106"/>
      <c r="ECZ492" s="106"/>
      <c r="EDA492" s="106"/>
      <c r="EDB492" s="106"/>
      <c r="EDC492" s="106"/>
      <c r="EDD492" s="106"/>
      <c r="EDE492" s="106"/>
      <c r="EDF492" s="106"/>
      <c r="EDG492" s="106"/>
      <c r="EDH492" s="106"/>
      <c r="EDI492" s="106"/>
      <c r="EDJ492" s="106"/>
      <c r="EDK492" s="106"/>
      <c r="EDL492" s="106"/>
      <c r="EDM492" s="106"/>
      <c r="EDN492" s="106"/>
      <c r="EDO492" s="106"/>
      <c r="EDP492" s="106"/>
      <c r="EDQ492" s="106"/>
      <c r="EDR492" s="106"/>
      <c r="EDS492" s="106"/>
      <c r="EDT492" s="106"/>
      <c r="EDU492" s="106"/>
      <c r="EDV492" s="106"/>
      <c r="EDW492" s="106"/>
      <c r="EDX492" s="106"/>
      <c r="EDY492" s="106"/>
      <c r="EDZ492" s="106"/>
      <c r="EEA492" s="106"/>
      <c r="EEB492" s="106"/>
      <c r="EEC492" s="106"/>
      <c r="EED492" s="106"/>
      <c r="EEE492" s="106"/>
      <c r="EEF492" s="106"/>
      <c r="EEG492" s="106"/>
      <c r="EEH492" s="106"/>
      <c r="EEI492" s="106"/>
      <c r="EEJ492" s="106"/>
      <c r="EEK492" s="106"/>
      <c r="EEL492" s="106"/>
      <c r="EEM492" s="106"/>
      <c r="EEN492" s="106"/>
      <c r="EEO492" s="106"/>
      <c r="EEP492" s="106"/>
      <c r="EEQ492" s="106"/>
      <c r="EER492" s="106"/>
      <c r="EES492" s="106"/>
      <c r="EET492" s="106"/>
      <c r="EEU492" s="106"/>
      <c r="EEV492" s="106"/>
      <c r="EEW492" s="106"/>
      <c r="EEX492" s="106"/>
      <c r="EEY492" s="106"/>
      <c r="EEZ492" s="106"/>
      <c r="EFA492" s="106"/>
      <c r="EFB492" s="106"/>
      <c r="EFC492" s="106"/>
      <c r="EFD492" s="106"/>
      <c r="EFE492" s="106"/>
      <c r="EFF492" s="106"/>
      <c r="EFG492" s="106"/>
      <c r="EFH492" s="106"/>
      <c r="EFI492" s="106"/>
      <c r="EFJ492" s="106"/>
      <c r="EFK492" s="106"/>
      <c r="EFL492" s="106"/>
      <c r="EFM492" s="106"/>
      <c r="EFN492" s="106"/>
      <c r="EFO492" s="106"/>
      <c r="EFP492" s="106"/>
      <c r="EFQ492" s="106"/>
      <c r="EFR492" s="106"/>
      <c r="EFS492" s="106"/>
      <c r="EFT492" s="106"/>
      <c r="EFU492" s="106"/>
      <c r="EFV492" s="106"/>
      <c r="EFW492" s="106"/>
      <c r="EFX492" s="106"/>
      <c r="EFY492" s="106"/>
      <c r="EFZ492" s="106"/>
      <c r="EGA492" s="106"/>
      <c r="EGB492" s="106"/>
      <c r="EGC492" s="106"/>
      <c r="EGD492" s="106"/>
      <c r="EGE492" s="106"/>
      <c r="EGF492" s="106"/>
      <c r="EGG492" s="106"/>
      <c r="EGH492" s="106"/>
      <c r="EGI492" s="106"/>
      <c r="EGJ492" s="106"/>
      <c r="EGK492" s="106"/>
      <c r="EGL492" s="106"/>
      <c r="EGM492" s="106"/>
      <c r="EGN492" s="106"/>
      <c r="EGO492" s="106"/>
      <c r="EGP492" s="106"/>
      <c r="EGQ492" s="106"/>
      <c r="EGR492" s="106"/>
      <c r="EGS492" s="106"/>
      <c r="EGT492" s="106"/>
      <c r="EGU492" s="106"/>
      <c r="EGV492" s="106"/>
      <c r="EGW492" s="106"/>
      <c r="EGX492" s="106"/>
      <c r="EGY492" s="106"/>
      <c r="EGZ492" s="106"/>
      <c r="EHA492" s="106"/>
      <c r="EHB492" s="106"/>
      <c r="EHC492" s="106"/>
      <c r="EHD492" s="106"/>
      <c r="EHE492" s="106"/>
      <c r="EHF492" s="106"/>
      <c r="EHG492" s="106"/>
      <c r="EHH492" s="106"/>
      <c r="EHI492" s="106"/>
      <c r="EHJ492" s="106"/>
      <c r="EHK492" s="106"/>
      <c r="EHL492" s="106"/>
      <c r="EHM492" s="106"/>
      <c r="EHN492" s="106"/>
      <c r="EHO492" s="106"/>
      <c r="EHP492" s="106"/>
      <c r="EHQ492" s="106"/>
      <c r="EHR492" s="106"/>
      <c r="EHS492" s="106"/>
      <c r="EHT492" s="106"/>
      <c r="EHU492" s="106"/>
      <c r="EHV492" s="106"/>
      <c r="EHW492" s="106"/>
      <c r="EHX492" s="106"/>
      <c r="EHY492" s="106"/>
      <c r="EHZ492" s="106"/>
      <c r="EIA492" s="106"/>
      <c r="EIB492" s="106"/>
      <c r="EIC492" s="106"/>
      <c r="EID492" s="106"/>
      <c r="EIE492" s="106"/>
      <c r="EIF492" s="106"/>
      <c r="EIG492" s="106"/>
      <c r="EIH492" s="106"/>
      <c r="EII492" s="106"/>
      <c r="EIJ492" s="106"/>
      <c r="EIK492" s="106"/>
      <c r="EIL492" s="106"/>
      <c r="EIM492" s="106"/>
      <c r="EIN492" s="106"/>
      <c r="EIO492" s="106"/>
      <c r="EIP492" s="106"/>
      <c r="EIQ492" s="106"/>
      <c r="EIR492" s="106"/>
      <c r="EIS492" s="106"/>
      <c r="EIT492" s="106"/>
      <c r="EIU492" s="106"/>
      <c r="EIV492" s="106"/>
      <c r="EIW492" s="106"/>
      <c r="EIX492" s="106"/>
      <c r="EIY492" s="106"/>
      <c r="EIZ492" s="106"/>
      <c r="EJA492" s="106"/>
      <c r="EJB492" s="106"/>
      <c r="EJC492" s="106"/>
      <c r="EJD492" s="106"/>
      <c r="EJE492" s="106"/>
      <c r="EJF492" s="106"/>
      <c r="EJG492" s="106"/>
      <c r="EJH492" s="106"/>
      <c r="EJI492" s="106"/>
      <c r="EJJ492" s="106"/>
      <c r="EJK492" s="106"/>
      <c r="EJL492" s="106"/>
      <c r="EJM492" s="106"/>
      <c r="EJN492" s="106"/>
      <c r="EJO492" s="106"/>
      <c r="EJP492" s="106"/>
      <c r="EJQ492" s="106"/>
      <c r="EJR492" s="106"/>
      <c r="EJS492" s="106"/>
      <c r="EJT492" s="106"/>
      <c r="EJU492" s="106"/>
      <c r="EJV492" s="106"/>
      <c r="EJW492" s="106"/>
      <c r="EJX492" s="106"/>
      <c r="EJY492" s="106"/>
      <c r="EJZ492" s="106"/>
      <c r="EKA492" s="106"/>
      <c r="EKB492" s="106"/>
      <c r="EKC492" s="106"/>
      <c r="EKD492" s="106"/>
      <c r="EKE492" s="106"/>
      <c r="EKF492" s="106"/>
      <c r="EKG492" s="106"/>
      <c r="EKH492" s="106"/>
      <c r="EKI492" s="106"/>
      <c r="EKJ492" s="106"/>
      <c r="EKK492" s="106"/>
      <c r="EKL492" s="106"/>
      <c r="EKM492" s="106"/>
      <c r="EKN492" s="106"/>
      <c r="EKO492" s="106"/>
      <c r="EKP492" s="106"/>
      <c r="EKQ492" s="106"/>
      <c r="EKR492" s="106"/>
      <c r="EKS492" s="106"/>
      <c r="EKT492" s="106"/>
      <c r="EKU492" s="106"/>
      <c r="EKV492" s="106"/>
      <c r="EKW492" s="106"/>
      <c r="EKX492" s="106"/>
      <c r="EKY492" s="106"/>
      <c r="EKZ492" s="106"/>
      <c r="ELA492" s="106"/>
      <c r="ELB492" s="106"/>
      <c r="ELC492" s="106"/>
      <c r="ELD492" s="106"/>
      <c r="ELE492" s="106"/>
      <c r="ELF492" s="106"/>
      <c r="ELG492" s="106"/>
      <c r="ELH492" s="106"/>
      <c r="ELI492" s="106"/>
      <c r="ELJ492" s="106"/>
      <c r="ELK492" s="106"/>
      <c r="ELL492" s="106"/>
      <c r="ELM492" s="106"/>
      <c r="ELN492" s="106"/>
      <c r="ELO492" s="106"/>
      <c r="ELP492" s="106"/>
      <c r="ELQ492" s="106"/>
      <c r="ELR492" s="106"/>
      <c r="ELS492" s="106"/>
      <c r="ELT492" s="106"/>
      <c r="ELU492" s="106"/>
      <c r="ELV492" s="106"/>
      <c r="ELW492" s="106"/>
      <c r="ELX492" s="106"/>
      <c r="ELY492" s="106"/>
      <c r="ELZ492" s="106"/>
      <c r="EMA492" s="106"/>
      <c r="EMB492" s="106"/>
      <c r="EMC492" s="106"/>
      <c r="EMD492" s="106"/>
      <c r="EME492" s="106"/>
      <c r="EMF492" s="106"/>
      <c r="EMG492" s="106"/>
      <c r="EMH492" s="106"/>
      <c r="EMI492" s="106"/>
      <c r="EMJ492" s="106"/>
      <c r="EMK492" s="106"/>
      <c r="EML492" s="106"/>
      <c r="EMM492" s="106"/>
      <c r="EMN492" s="106"/>
      <c r="EMO492" s="106"/>
      <c r="EMP492" s="106"/>
      <c r="EMQ492" s="106"/>
      <c r="EMR492" s="106"/>
      <c r="EMS492" s="106"/>
      <c r="EMT492" s="106"/>
      <c r="EMU492" s="106"/>
      <c r="EMV492" s="106"/>
      <c r="EMW492" s="106"/>
      <c r="EMX492" s="106"/>
      <c r="EMY492" s="106"/>
      <c r="EMZ492" s="106"/>
      <c r="ENA492" s="106"/>
      <c r="ENB492" s="106"/>
      <c r="ENC492" s="106"/>
      <c r="END492" s="106"/>
      <c r="ENE492" s="106"/>
      <c r="ENF492" s="106"/>
      <c r="ENG492" s="106"/>
      <c r="ENH492" s="106"/>
      <c r="ENI492" s="106"/>
      <c r="ENJ492" s="106"/>
      <c r="ENK492" s="106"/>
      <c r="ENL492" s="106"/>
      <c r="ENM492" s="106"/>
      <c r="ENN492" s="106"/>
      <c r="ENO492" s="106"/>
      <c r="ENP492" s="106"/>
      <c r="ENQ492" s="106"/>
      <c r="ENR492" s="106"/>
      <c r="ENS492" s="106"/>
      <c r="ENT492" s="106"/>
      <c r="ENU492" s="106"/>
      <c r="ENV492" s="106"/>
      <c r="ENW492" s="106"/>
      <c r="ENX492" s="106"/>
      <c r="ENY492" s="106"/>
      <c r="ENZ492" s="106"/>
      <c r="EOA492" s="106"/>
      <c r="EOB492" s="106"/>
      <c r="EOC492" s="106"/>
      <c r="EOD492" s="106"/>
      <c r="EOE492" s="106"/>
      <c r="EOF492" s="106"/>
      <c r="EOG492" s="106"/>
      <c r="EOH492" s="106"/>
      <c r="EOI492" s="106"/>
      <c r="EOJ492" s="106"/>
      <c r="EOK492" s="106"/>
      <c r="EOL492" s="106"/>
      <c r="EOM492" s="106"/>
      <c r="EON492" s="106"/>
      <c r="EOO492" s="106"/>
      <c r="EOP492" s="106"/>
      <c r="EOQ492" s="106"/>
      <c r="EOR492" s="106"/>
      <c r="EOS492" s="106"/>
      <c r="EOT492" s="106"/>
      <c r="EOU492" s="106"/>
      <c r="EOV492" s="106"/>
      <c r="EOW492" s="106"/>
      <c r="EOX492" s="106"/>
      <c r="EOY492" s="106"/>
      <c r="EOZ492" s="106"/>
      <c r="EPA492" s="106"/>
      <c r="EPB492" s="106"/>
      <c r="EPC492" s="106"/>
      <c r="EPD492" s="106"/>
      <c r="EPE492" s="106"/>
      <c r="EPF492" s="106"/>
      <c r="EPG492" s="106"/>
      <c r="EPH492" s="106"/>
      <c r="EPI492" s="106"/>
      <c r="EPJ492" s="106"/>
      <c r="EPK492" s="106"/>
      <c r="EPL492" s="106"/>
      <c r="EPM492" s="106"/>
      <c r="EPN492" s="106"/>
      <c r="EPO492" s="106"/>
      <c r="EPP492" s="106"/>
      <c r="EPQ492" s="106"/>
      <c r="EPR492" s="106"/>
      <c r="EPS492" s="106"/>
      <c r="EPT492" s="106"/>
      <c r="EPU492" s="106"/>
      <c r="EPV492" s="106"/>
      <c r="EPW492" s="106"/>
      <c r="EPX492" s="106"/>
      <c r="EPY492" s="106"/>
      <c r="EPZ492" s="106"/>
      <c r="EQA492" s="106"/>
      <c r="EQB492" s="106"/>
      <c r="EQC492" s="106"/>
      <c r="EQD492" s="106"/>
      <c r="EQE492" s="106"/>
      <c r="EQF492" s="106"/>
      <c r="EQG492" s="106"/>
      <c r="EQH492" s="106"/>
      <c r="EQI492" s="106"/>
      <c r="EQJ492" s="106"/>
      <c r="EQK492" s="106"/>
      <c r="EQL492" s="106"/>
      <c r="EQM492" s="106"/>
      <c r="EQN492" s="106"/>
      <c r="EQO492" s="106"/>
      <c r="EQP492" s="106"/>
      <c r="EQQ492" s="106"/>
      <c r="EQR492" s="106"/>
      <c r="EQS492" s="106"/>
      <c r="EQT492" s="106"/>
      <c r="EQU492" s="106"/>
      <c r="EQV492" s="106"/>
      <c r="EQW492" s="106"/>
      <c r="EQX492" s="106"/>
      <c r="EQY492" s="106"/>
      <c r="EQZ492" s="106"/>
      <c r="ERA492" s="106"/>
      <c r="ERB492" s="106"/>
      <c r="ERC492" s="106"/>
      <c r="ERD492" s="106"/>
      <c r="ERE492" s="106"/>
      <c r="ERF492" s="106"/>
      <c r="ERG492" s="106"/>
      <c r="ERH492" s="106"/>
      <c r="ERI492" s="106"/>
      <c r="ERJ492" s="106"/>
      <c r="ERK492" s="106"/>
      <c r="ERL492" s="106"/>
      <c r="ERM492" s="106"/>
      <c r="ERN492" s="106"/>
      <c r="ERO492" s="106"/>
      <c r="ERP492" s="106"/>
      <c r="ERQ492" s="106"/>
      <c r="ERR492" s="106"/>
      <c r="ERS492" s="106"/>
      <c r="ERT492" s="106"/>
      <c r="ERU492" s="106"/>
      <c r="ERV492" s="106"/>
      <c r="ERW492" s="106"/>
      <c r="ERX492" s="106"/>
      <c r="ERY492" s="106"/>
      <c r="ERZ492" s="106"/>
      <c r="ESA492" s="106"/>
      <c r="ESB492" s="106"/>
      <c r="ESC492" s="106"/>
      <c r="ESD492" s="106"/>
      <c r="ESE492" s="106"/>
      <c r="ESF492" s="106"/>
      <c r="ESG492" s="106"/>
      <c r="ESH492" s="106"/>
      <c r="ESI492" s="106"/>
      <c r="ESJ492" s="106"/>
      <c r="ESK492" s="106"/>
      <c r="ESL492" s="106"/>
      <c r="ESM492" s="106"/>
      <c r="ESN492" s="106"/>
      <c r="ESO492" s="106"/>
      <c r="ESP492" s="106"/>
      <c r="ESQ492" s="106"/>
      <c r="ESR492" s="106"/>
      <c r="ESS492" s="106"/>
      <c r="EST492" s="106"/>
      <c r="ESU492" s="106"/>
      <c r="ESV492" s="106"/>
      <c r="ESW492" s="106"/>
      <c r="ESX492" s="106"/>
      <c r="ESY492" s="106"/>
      <c r="ESZ492" s="106"/>
      <c r="ETA492" s="106"/>
      <c r="ETB492" s="106"/>
      <c r="ETC492" s="106"/>
      <c r="ETD492" s="106"/>
      <c r="ETE492" s="106"/>
      <c r="ETF492" s="106"/>
      <c r="ETG492" s="106"/>
      <c r="ETH492" s="106"/>
      <c r="ETI492" s="106"/>
      <c r="ETJ492" s="106"/>
      <c r="ETK492" s="106"/>
      <c r="ETL492" s="106"/>
      <c r="ETM492" s="106"/>
      <c r="ETN492" s="106"/>
      <c r="ETO492" s="106"/>
      <c r="ETP492" s="106"/>
      <c r="ETQ492" s="106"/>
      <c r="ETR492" s="106"/>
      <c r="ETS492" s="106"/>
      <c r="ETT492" s="106"/>
      <c r="ETU492" s="106"/>
      <c r="ETV492" s="106"/>
      <c r="ETW492" s="106"/>
      <c r="ETX492" s="106"/>
      <c r="ETY492" s="106"/>
      <c r="ETZ492" s="106"/>
      <c r="EUA492" s="106"/>
      <c r="EUB492" s="106"/>
      <c r="EUC492" s="106"/>
      <c r="EUD492" s="106"/>
      <c r="EUE492" s="106"/>
      <c r="EUF492" s="106"/>
      <c r="EUG492" s="106"/>
      <c r="EUH492" s="106"/>
      <c r="EUI492" s="106"/>
      <c r="EUJ492" s="106"/>
      <c r="EUK492" s="106"/>
      <c r="EUL492" s="106"/>
      <c r="EUM492" s="106"/>
      <c r="EUN492" s="106"/>
      <c r="EUO492" s="106"/>
      <c r="EUP492" s="106"/>
      <c r="EUQ492" s="106"/>
      <c r="EUR492" s="106"/>
      <c r="EUS492" s="106"/>
      <c r="EUT492" s="106"/>
      <c r="EUU492" s="106"/>
      <c r="EUV492" s="106"/>
      <c r="EUW492" s="106"/>
      <c r="EUX492" s="106"/>
      <c r="EUY492" s="106"/>
      <c r="EUZ492" s="106"/>
      <c r="EVA492" s="106"/>
      <c r="EVB492" s="106"/>
      <c r="EVC492" s="106"/>
      <c r="EVD492" s="106"/>
      <c r="EVE492" s="106"/>
      <c r="EVF492" s="106"/>
      <c r="EVG492" s="106"/>
      <c r="EVH492" s="106"/>
      <c r="EVI492" s="106"/>
      <c r="EVJ492" s="106"/>
      <c r="EVK492" s="106"/>
      <c r="EVL492" s="106"/>
      <c r="EVM492" s="106"/>
      <c r="EVN492" s="106"/>
      <c r="EVO492" s="106"/>
      <c r="EVP492" s="106"/>
      <c r="EVQ492" s="106"/>
      <c r="EVR492" s="106"/>
      <c r="EVS492" s="106"/>
      <c r="EVT492" s="106"/>
      <c r="EVU492" s="106"/>
      <c r="EVV492" s="106"/>
      <c r="EVW492" s="106"/>
      <c r="EVX492" s="106"/>
      <c r="EVY492" s="106"/>
      <c r="EVZ492" s="106"/>
      <c r="EWA492" s="106"/>
      <c r="EWB492" s="106"/>
      <c r="EWC492" s="106"/>
      <c r="EWD492" s="106"/>
      <c r="EWE492" s="106"/>
      <c r="EWF492" s="106"/>
      <c r="EWG492" s="106"/>
      <c r="EWH492" s="106"/>
      <c r="EWI492" s="106"/>
      <c r="EWJ492" s="106"/>
      <c r="EWK492" s="106"/>
      <c r="EWL492" s="106"/>
      <c r="EWM492" s="106"/>
      <c r="EWN492" s="106"/>
      <c r="EWO492" s="106"/>
      <c r="EWP492" s="106"/>
      <c r="EWQ492" s="106"/>
      <c r="EWR492" s="106"/>
      <c r="EWS492" s="106"/>
      <c r="EWT492" s="106"/>
      <c r="EWU492" s="106"/>
      <c r="EWV492" s="106"/>
      <c r="EWW492" s="106"/>
      <c r="EWX492" s="106"/>
      <c r="EWY492" s="106"/>
      <c r="EWZ492" s="106"/>
      <c r="EXA492" s="106"/>
      <c r="EXB492" s="106"/>
      <c r="EXC492" s="106"/>
      <c r="EXD492" s="106"/>
      <c r="EXE492" s="106"/>
      <c r="EXF492" s="106"/>
      <c r="EXG492" s="106"/>
      <c r="EXH492" s="106"/>
      <c r="EXI492" s="106"/>
      <c r="EXJ492" s="106"/>
      <c r="EXK492" s="106"/>
      <c r="EXL492" s="106"/>
      <c r="EXM492" s="106"/>
      <c r="EXN492" s="106"/>
      <c r="EXO492" s="106"/>
      <c r="EXP492" s="106"/>
      <c r="EXQ492" s="106"/>
      <c r="EXR492" s="106"/>
      <c r="EXS492" s="106"/>
      <c r="EXT492" s="106"/>
      <c r="EXU492" s="106"/>
      <c r="EXV492" s="106"/>
      <c r="EXW492" s="106"/>
      <c r="EXX492" s="106"/>
      <c r="EXY492" s="106"/>
      <c r="EXZ492" s="106"/>
      <c r="EYA492" s="106"/>
      <c r="EYB492" s="106"/>
      <c r="EYC492" s="106"/>
      <c r="EYD492" s="106"/>
      <c r="EYE492" s="106"/>
      <c r="EYF492" s="106"/>
      <c r="EYG492" s="106"/>
      <c r="EYH492" s="106"/>
      <c r="EYI492" s="106"/>
      <c r="EYJ492" s="106"/>
      <c r="EYK492" s="106"/>
      <c r="EYL492" s="106"/>
      <c r="EYM492" s="106"/>
      <c r="EYN492" s="106"/>
      <c r="EYO492" s="106"/>
      <c r="EYP492" s="106"/>
      <c r="EYQ492" s="106"/>
      <c r="EYR492" s="106"/>
      <c r="EYS492" s="106"/>
      <c r="EYT492" s="106"/>
      <c r="EYU492" s="106"/>
      <c r="EYV492" s="106"/>
      <c r="EYW492" s="106"/>
      <c r="EYX492" s="106"/>
      <c r="EYY492" s="106"/>
      <c r="EYZ492" s="106"/>
      <c r="EZA492" s="106"/>
      <c r="EZB492" s="106"/>
      <c r="EZC492" s="106"/>
      <c r="EZD492" s="106"/>
      <c r="EZE492" s="106"/>
      <c r="EZF492" s="106"/>
      <c r="EZG492" s="106"/>
      <c r="EZH492" s="106"/>
      <c r="EZI492" s="106"/>
      <c r="EZJ492" s="106"/>
      <c r="EZK492" s="106"/>
      <c r="EZL492" s="106"/>
      <c r="EZM492" s="106"/>
      <c r="EZN492" s="106"/>
      <c r="EZO492" s="106"/>
      <c r="EZP492" s="106"/>
      <c r="EZQ492" s="106"/>
      <c r="EZR492" s="106"/>
      <c r="EZS492" s="106"/>
      <c r="EZT492" s="106"/>
      <c r="EZU492" s="106"/>
      <c r="EZV492" s="106"/>
      <c r="EZW492" s="106"/>
      <c r="EZX492" s="106"/>
      <c r="EZY492" s="106"/>
      <c r="EZZ492" s="106"/>
      <c r="FAA492" s="106"/>
      <c r="FAB492" s="106"/>
      <c r="FAC492" s="106"/>
      <c r="FAD492" s="106"/>
      <c r="FAE492" s="106"/>
      <c r="FAF492" s="106"/>
      <c r="FAG492" s="106"/>
      <c r="FAH492" s="106"/>
      <c r="FAI492" s="106"/>
      <c r="FAJ492" s="106"/>
      <c r="FAK492" s="106"/>
      <c r="FAL492" s="106"/>
      <c r="FAM492" s="106"/>
      <c r="FAN492" s="106"/>
      <c r="FAO492" s="106"/>
      <c r="FAP492" s="106"/>
      <c r="FAQ492" s="106"/>
      <c r="FAR492" s="106"/>
      <c r="FAS492" s="106"/>
      <c r="FAT492" s="106"/>
      <c r="FAU492" s="106"/>
      <c r="FAV492" s="106"/>
      <c r="FAW492" s="106"/>
      <c r="FAX492" s="106"/>
      <c r="FAY492" s="106"/>
      <c r="FAZ492" s="106"/>
      <c r="FBA492" s="106"/>
      <c r="FBB492" s="106"/>
      <c r="FBC492" s="106"/>
      <c r="FBD492" s="106"/>
      <c r="FBE492" s="106"/>
      <c r="FBF492" s="106"/>
      <c r="FBG492" s="106"/>
      <c r="FBH492" s="106"/>
      <c r="FBI492" s="106"/>
      <c r="FBJ492" s="106"/>
      <c r="FBK492" s="106"/>
      <c r="FBL492" s="106"/>
      <c r="FBM492" s="106"/>
      <c r="FBN492" s="106"/>
      <c r="FBO492" s="106"/>
      <c r="FBP492" s="106"/>
      <c r="FBQ492" s="106"/>
      <c r="FBR492" s="106"/>
      <c r="FBS492" s="106"/>
      <c r="FBT492" s="106"/>
      <c r="FBU492" s="106"/>
      <c r="FBV492" s="106"/>
      <c r="FBW492" s="106"/>
      <c r="FBX492" s="106"/>
      <c r="FBY492" s="106"/>
      <c r="FBZ492" s="106"/>
      <c r="FCA492" s="106"/>
      <c r="FCB492" s="106"/>
      <c r="FCC492" s="106"/>
      <c r="FCD492" s="106"/>
      <c r="FCE492" s="106"/>
      <c r="FCF492" s="106"/>
      <c r="FCG492" s="106"/>
      <c r="FCH492" s="106"/>
      <c r="FCI492" s="106"/>
      <c r="FCJ492" s="106"/>
      <c r="FCK492" s="106"/>
      <c r="FCL492" s="106"/>
      <c r="FCM492" s="106"/>
      <c r="FCN492" s="106"/>
      <c r="FCO492" s="106"/>
      <c r="FCP492" s="106"/>
      <c r="FCQ492" s="106"/>
      <c r="FCR492" s="106"/>
      <c r="FCS492" s="106"/>
      <c r="FCT492" s="106"/>
      <c r="FCU492" s="106"/>
      <c r="FCV492" s="106"/>
      <c r="FCW492" s="106"/>
      <c r="FCX492" s="106"/>
      <c r="FCY492" s="106"/>
      <c r="FCZ492" s="106"/>
      <c r="FDA492" s="106"/>
      <c r="FDB492" s="106"/>
      <c r="FDC492" s="106"/>
      <c r="FDD492" s="106"/>
      <c r="FDE492" s="106"/>
      <c r="FDF492" s="106"/>
      <c r="FDG492" s="106"/>
      <c r="FDH492" s="106"/>
      <c r="FDI492" s="106"/>
      <c r="FDJ492" s="106"/>
      <c r="FDK492" s="106"/>
      <c r="FDL492" s="106"/>
      <c r="FDM492" s="106"/>
      <c r="FDN492" s="106"/>
      <c r="FDO492" s="106"/>
      <c r="FDP492" s="106"/>
      <c r="FDQ492" s="106"/>
      <c r="FDR492" s="106"/>
      <c r="FDS492" s="106"/>
      <c r="FDT492" s="106"/>
      <c r="FDU492" s="106"/>
      <c r="FDV492" s="106"/>
      <c r="FDW492" s="106"/>
      <c r="FDX492" s="106"/>
      <c r="FDY492" s="106"/>
      <c r="FDZ492" s="106"/>
      <c r="FEA492" s="106"/>
      <c r="FEB492" s="106"/>
      <c r="FEC492" s="106"/>
      <c r="FED492" s="106"/>
      <c r="FEE492" s="106"/>
      <c r="FEF492" s="106"/>
      <c r="FEG492" s="106"/>
      <c r="FEH492" s="106"/>
      <c r="FEI492" s="106"/>
      <c r="FEJ492" s="106"/>
      <c r="FEK492" s="106"/>
      <c r="FEL492" s="106"/>
      <c r="FEM492" s="106"/>
      <c r="FEN492" s="106"/>
      <c r="FEO492" s="106"/>
      <c r="FEP492" s="106"/>
      <c r="FEQ492" s="106"/>
      <c r="FER492" s="106"/>
      <c r="FES492" s="106"/>
      <c r="FET492" s="106"/>
      <c r="FEU492" s="106"/>
      <c r="FEV492" s="106"/>
      <c r="FEW492" s="106"/>
      <c r="FEX492" s="106"/>
      <c r="FEY492" s="106"/>
      <c r="FEZ492" s="106"/>
      <c r="FFA492" s="106"/>
      <c r="FFB492" s="106"/>
      <c r="FFC492" s="106"/>
      <c r="FFD492" s="106"/>
      <c r="FFE492" s="106"/>
      <c r="FFF492" s="106"/>
      <c r="FFG492" s="106"/>
      <c r="FFH492" s="106"/>
      <c r="FFI492" s="106"/>
      <c r="FFJ492" s="106"/>
      <c r="FFK492" s="106"/>
      <c r="FFL492" s="106"/>
      <c r="FFM492" s="106"/>
      <c r="FFN492" s="106"/>
      <c r="FFO492" s="106"/>
      <c r="FFP492" s="106"/>
      <c r="FFQ492" s="106"/>
      <c r="FFR492" s="106"/>
      <c r="FFS492" s="106"/>
      <c r="FFT492" s="106"/>
      <c r="FFU492" s="106"/>
      <c r="FFV492" s="106"/>
      <c r="FFW492" s="106"/>
      <c r="FFX492" s="106"/>
      <c r="FFY492" s="106"/>
      <c r="FFZ492" s="106"/>
      <c r="FGA492" s="106"/>
      <c r="FGB492" s="106"/>
      <c r="FGC492" s="106"/>
      <c r="FGD492" s="106"/>
      <c r="FGE492" s="106"/>
      <c r="FGF492" s="106"/>
      <c r="FGG492" s="106"/>
      <c r="FGH492" s="106"/>
      <c r="FGI492" s="106"/>
      <c r="FGJ492" s="106"/>
      <c r="FGK492" s="106"/>
      <c r="FGL492" s="106"/>
      <c r="FGM492" s="106"/>
      <c r="FGN492" s="106"/>
      <c r="FGO492" s="106"/>
      <c r="FGP492" s="106"/>
      <c r="FGQ492" s="106"/>
      <c r="FGR492" s="106"/>
      <c r="FGS492" s="106"/>
      <c r="FGT492" s="106"/>
      <c r="FGU492" s="106"/>
      <c r="FGV492" s="106"/>
      <c r="FGW492" s="106"/>
      <c r="FGX492" s="106"/>
      <c r="FGY492" s="106"/>
      <c r="FGZ492" s="106"/>
      <c r="FHA492" s="106"/>
      <c r="FHB492" s="106"/>
      <c r="FHC492" s="106"/>
      <c r="FHD492" s="106"/>
      <c r="FHE492" s="106"/>
      <c r="FHF492" s="106"/>
      <c r="FHG492" s="106"/>
      <c r="FHH492" s="106"/>
      <c r="FHI492" s="106"/>
      <c r="FHJ492" s="106"/>
      <c r="FHK492" s="106"/>
      <c r="FHL492" s="106"/>
      <c r="FHM492" s="106"/>
      <c r="FHN492" s="106"/>
      <c r="FHO492" s="106"/>
      <c r="FHP492" s="106"/>
      <c r="FHQ492" s="106"/>
      <c r="FHR492" s="106"/>
      <c r="FHS492" s="106"/>
      <c r="FHT492" s="106"/>
      <c r="FHU492" s="106"/>
      <c r="FHV492" s="106"/>
      <c r="FHW492" s="106"/>
      <c r="FHX492" s="106"/>
      <c r="FHY492" s="106"/>
      <c r="FHZ492" s="106"/>
      <c r="FIA492" s="106"/>
      <c r="FIB492" s="106"/>
      <c r="FIC492" s="106"/>
      <c r="FID492" s="106"/>
      <c r="FIE492" s="106"/>
      <c r="FIF492" s="106"/>
      <c r="FIG492" s="106"/>
      <c r="FIH492" s="106"/>
      <c r="FII492" s="106"/>
      <c r="FIJ492" s="106"/>
      <c r="FIK492" s="106"/>
      <c r="FIL492" s="106"/>
      <c r="FIM492" s="106"/>
      <c r="FIN492" s="106"/>
      <c r="FIO492" s="106"/>
      <c r="FIP492" s="106"/>
      <c r="FIQ492" s="106"/>
      <c r="FIR492" s="106"/>
      <c r="FIS492" s="106"/>
      <c r="FIT492" s="106"/>
      <c r="FIU492" s="106"/>
      <c r="FIV492" s="106"/>
      <c r="FIW492" s="106"/>
      <c r="FIX492" s="106"/>
      <c r="FIY492" s="106"/>
      <c r="FIZ492" s="106"/>
      <c r="FJA492" s="106"/>
      <c r="FJB492" s="106"/>
      <c r="FJC492" s="106"/>
      <c r="FJD492" s="106"/>
      <c r="FJE492" s="106"/>
      <c r="FJF492" s="106"/>
      <c r="FJG492" s="106"/>
      <c r="FJH492" s="106"/>
      <c r="FJI492" s="106"/>
      <c r="FJJ492" s="106"/>
      <c r="FJK492" s="106"/>
      <c r="FJL492" s="106"/>
      <c r="FJM492" s="106"/>
      <c r="FJN492" s="106"/>
      <c r="FJO492" s="106"/>
      <c r="FJP492" s="106"/>
      <c r="FJQ492" s="106"/>
      <c r="FJR492" s="106"/>
      <c r="FJS492" s="106"/>
      <c r="FJT492" s="106"/>
      <c r="FJU492" s="106"/>
      <c r="FJV492" s="106"/>
      <c r="FJW492" s="106"/>
      <c r="FJX492" s="106"/>
      <c r="FJY492" s="106"/>
      <c r="FJZ492" s="106"/>
      <c r="FKA492" s="106"/>
      <c r="FKB492" s="106"/>
      <c r="FKC492" s="106"/>
      <c r="FKD492" s="106"/>
      <c r="FKE492" s="106"/>
      <c r="FKF492" s="106"/>
      <c r="FKG492" s="106"/>
      <c r="FKH492" s="106"/>
      <c r="FKI492" s="106"/>
      <c r="FKJ492" s="106"/>
      <c r="FKK492" s="106"/>
      <c r="FKL492" s="106"/>
      <c r="FKM492" s="106"/>
      <c r="FKN492" s="106"/>
      <c r="FKO492" s="106"/>
      <c r="FKP492" s="106"/>
      <c r="FKQ492" s="106"/>
      <c r="FKR492" s="106"/>
      <c r="FKS492" s="106"/>
      <c r="FKT492" s="106"/>
      <c r="FKU492" s="106"/>
      <c r="FKV492" s="106"/>
      <c r="FKW492" s="106"/>
      <c r="FKX492" s="106"/>
      <c r="FKY492" s="106"/>
      <c r="FKZ492" s="106"/>
      <c r="FLA492" s="106"/>
      <c r="FLB492" s="106"/>
      <c r="FLC492" s="106"/>
      <c r="FLD492" s="106"/>
      <c r="FLE492" s="106"/>
      <c r="FLF492" s="106"/>
      <c r="FLG492" s="106"/>
      <c r="FLH492" s="106"/>
      <c r="FLI492" s="106"/>
      <c r="FLJ492" s="106"/>
      <c r="FLK492" s="106"/>
      <c r="FLL492" s="106"/>
      <c r="FLM492" s="106"/>
      <c r="FLN492" s="106"/>
      <c r="FLO492" s="106"/>
      <c r="FLP492" s="106"/>
      <c r="FLQ492" s="106"/>
      <c r="FLR492" s="106"/>
      <c r="FLS492" s="106"/>
      <c r="FLT492" s="106"/>
      <c r="FLU492" s="106"/>
      <c r="FLV492" s="106"/>
      <c r="FLW492" s="106"/>
      <c r="FLX492" s="106"/>
      <c r="FLY492" s="106"/>
      <c r="FLZ492" s="106"/>
      <c r="FMA492" s="106"/>
      <c r="FMB492" s="106"/>
      <c r="FMC492" s="106"/>
      <c r="FMD492" s="106"/>
      <c r="FME492" s="106"/>
      <c r="FMF492" s="106"/>
      <c r="FMG492" s="106"/>
      <c r="FMH492" s="106"/>
      <c r="FMI492" s="106"/>
      <c r="FMJ492" s="106"/>
      <c r="FMK492" s="106"/>
      <c r="FML492" s="106"/>
      <c r="FMM492" s="106"/>
      <c r="FMN492" s="106"/>
      <c r="FMO492" s="106"/>
      <c r="FMP492" s="106"/>
      <c r="FMQ492" s="106"/>
      <c r="FMR492" s="106"/>
      <c r="FMS492" s="106"/>
      <c r="FMT492" s="106"/>
      <c r="FMU492" s="106"/>
      <c r="FMV492" s="106"/>
      <c r="FMW492" s="106"/>
      <c r="FMX492" s="106"/>
      <c r="FMY492" s="106"/>
      <c r="FMZ492" s="106"/>
      <c r="FNA492" s="106"/>
      <c r="FNB492" s="106"/>
      <c r="FNC492" s="106"/>
      <c r="FND492" s="106"/>
      <c r="FNE492" s="106"/>
      <c r="FNF492" s="106"/>
      <c r="FNG492" s="106"/>
      <c r="FNH492" s="106"/>
      <c r="FNI492" s="106"/>
      <c r="FNJ492" s="106"/>
      <c r="FNK492" s="106"/>
      <c r="FNL492" s="106"/>
      <c r="FNM492" s="106"/>
      <c r="FNN492" s="106"/>
      <c r="FNO492" s="106"/>
      <c r="FNP492" s="106"/>
      <c r="FNQ492" s="106"/>
      <c r="FNR492" s="106"/>
      <c r="FNS492" s="106"/>
      <c r="FNT492" s="106"/>
      <c r="FNU492" s="106"/>
      <c r="FNV492" s="106"/>
      <c r="FNW492" s="106"/>
      <c r="FNX492" s="106"/>
      <c r="FNY492" s="106"/>
      <c r="FNZ492" s="106"/>
      <c r="FOA492" s="106"/>
      <c r="FOB492" s="106"/>
      <c r="FOC492" s="106"/>
      <c r="FOD492" s="106"/>
      <c r="FOE492" s="106"/>
      <c r="FOF492" s="106"/>
      <c r="FOG492" s="106"/>
      <c r="FOH492" s="106"/>
      <c r="FOI492" s="106"/>
      <c r="FOJ492" s="106"/>
      <c r="FOK492" s="106"/>
      <c r="FOL492" s="106"/>
      <c r="FOM492" s="106"/>
      <c r="FON492" s="106"/>
      <c r="FOO492" s="106"/>
      <c r="FOP492" s="106"/>
      <c r="FOQ492" s="106"/>
      <c r="FOR492" s="106"/>
      <c r="FOS492" s="106"/>
      <c r="FOT492" s="106"/>
      <c r="FOU492" s="106"/>
      <c r="FOV492" s="106"/>
      <c r="FOW492" s="106"/>
      <c r="FOX492" s="106"/>
      <c r="FOY492" s="106"/>
      <c r="FOZ492" s="106"/>
      <c r="FPA492" s="106"/>
      <c r="FPB492" s="106"/>
      <c r="FPC492" s="106"/>
      <c r="FPD492" s="106"/>
      <c r="FPE492" s="106"/>
      <c r="FPF492" s="106"/>
      <c r="FPG492" s="106"/>
      <c r="FPH492" s="106"/>
      <c r="FPI492" s="106"/>
      <c r="FPJ492" s="106"/>
      <c r="FPK492" s="106"/>
      <c r="FPL492" s="106"/>
      <c r="FPM492" s="106"/>
      <c r="FPN492" s="106"/>
      <c r="FPO492" s="106"/>
      <c r="FPP492" s="106"/>
      <c r="FPQ492" s="106"/>
      <c r="FPR492" s="106"/>
      <c r="FPS492" s="106"/>
      <c r="FPT492" s="106"/>
      <c r="FPU492" s="106"/>
      <c r="FPV492" s="106"/>
      <c r="FPW492" s="106"/>
      <c r="FPX492" s="106"/>
      <c r="FPY492" s="106"/>
      <c r="FPZ492" s="106"/>
      <c r="FQA492" s="106"/>
      <c r="FQB492" s="106"/>
      <c r="FQC492" s="106"/>
      <c r="FQD492" s="106"/>
      <c r="FQE492" s="106"/>
      <c r="FQF492" s="106"/>
      <c r="FQG492" s="106"/>
      <c r="FQH492" s="106"/>
      <c r="FQI492" s="106"/>
      <c r="FQJ492" s="106"/>
      <c r="FQK492" s="106"/>
      <c r="FQL492" s="106"/>
      <c r="FQM492" s="106"/>
      <c r="FQN492" s="106"/>
      <c r="FQO492" s="106"/>
      <c r="FQP492" s="106"/>
      <c r="FQQ492" s="106"/>
      <c r="FQR492" s="106"/>
      <c r="FQS492" s="106"/>
      <c r="FQT492" s="106"/>
      <c r="FQU492" s="106"/>
      <c r="FQV492" s="106"/>
      <c r="FQW492" s="106"/>
      <c r="FQX492" s="106"/>
      <c r="FQY492" s="106"/>
      <c r="FQZ492" s="106"/>
      <c r="FRA492" s="106"/>
      <c r="FRB492" s="106"/>
      <c r="FRC492" s="106"/>
      <c r="FRD492" s="106"/>
      <c r="FRE492" s="106"/>
      <c r="FRF492" s="106"/>
      <c r="FRG492" s="106"/>
      <c r="FRH492" s="106"/>
      <c r="FRI492" s="106"/>
      <c r="FRJ492" s="106"/>
      <c r="FRK492" s="106"/>
      <c r="FRL492" s="106"/>
      <c r="FRM492" s="106"/>
      <c r="FRN492" s="106"/>
      <c r="FRO492" s="106"/>
      <c r="FRP492" s="106"/>
      <c r="FRQ492" s="106"/>
      <c r="FRR492" s="106"/>
      <c r="FRS492" s="106"/>
      <c r="FRT492" s="106"/>
      <c r="FRU492" s="106"/>
      <c r="FRV492" s="106"/>
      <c r="FRW492" s="106"/>
      <c r="FRX492" s="106"/>
      <c r="FRY492" s="106"/>
      <c r="FRZ492" s="106"/>
      <c r="FSA492" s="106"/>
      <c r="FSB492" s="106"/>
      <c r="FSC492" s="106"/>
      <c r="FSD492" s="106"/>
      <c r="FSE492" s="106"/>
      <c r="FSF492" s="106"/>
      <c r="FSG492" s="106"/>
      <c r="FSH492" s="106"/>
      <c r="FSI492" s="106"/>
      <c r="FSJ492" s="106"/>
      <c r="FSK492" s="106"/>
      <c r="FSL492" s="106"/>
      <c r="FSM492" s="106"/>
      <c r="FSN492" s="106"/>
      <c r="FSO492" s="106"/>
      <c r="FSP492" s="106"/>
      <c r="FSQ492" s="106"/>
      <c r="FSR492" s="106"/>
      <c r="FSS492" s="106"/>
      <c r="FST492" s="106"/>
      <c r="FSU492" s="106"/>
      <c r="FSV492" s="106"/>
      <c r="FSW492" s="106"/>
      <c r="FSX492" s="106"/>
      <c r="FSY492" s="106"/>
      <c r="FSZ492" s="106"/>
      <c r="FTA492" s="106"/>
      <c r="FTB492" s="106"/>
      <c r="FTC492" s="106"/>
      <c r="FTD492" s="106"/>
      <c r="FTE492" s="106"/>
      <c r="FTF492" s="106"/>
      <c r="FTG492" s="106"/>
      <c r="FTH492" s="106"/>
      <c r="FTI492" s="106"/>
      <c r="FTJ492" s="106"/>
      <c r="FTK492" s="106"/>
      <c r="FTL492" s="106"/>
      <c r="FTM492" s="106"/>
      <c r="FTN492" s="106"/>
      <c r="FTO492" s="106"/>
      <c r="FTP492" s="106"/>
      <c r="FTQ492" s="106"/>
      <c r="FTR492" s="106"/>
      <c r="FTS492" s="106"/>
      <c r="FTT492" s="106"/>
      <c r="FTU492" s="106"/>
      <c r="FTV492" s="106"/>
      <c r="FTW492" s="106"/>
      <c r="FTX492" s="106"/>
      <c r="FTY492" s="106"/>
      <c r="FTZ492" s="106"/>
      <c r="FUA492" s="106"/>
      <c r="FUB492" s="106"/>
      <c r="FUC492" s="106"/>
      <c r="FUD492" s="106"/>
      <c r="FUE492" s="106"/>
      <c r="FUF492" s="106"/>
      <c r="FUG492" s="106"/>
      <c r="FUH492" s="106"/>
      <c r="FUI492" s="106"/>
      <c r="FUJ492" s="106"/>
      <c r="FUK492" s="106"/>
      <c r="FUL492" s="106"/>
      <c r="FUM492" s="106"/>
      <c r="FUN492" s="106"/>
      <c r="FUO492" s="106"/>
      <c r="FUP492" s="106"/>
      <c r="FUQ492" s="106"/>
      <c r="FUR492" s="106"/>
      <c r="FUS492" s="106"/>
      <c r="FUT492" s="106"/>
      <c r="FUU492" s="106"/>
      <c r="FUV492" s="106"/>
      <c r="FUW492" s="106"/>
      <c r="FUX492" s="106"/>
      <c r="FUY492" s="106"/>
      <c r="FUZ492" s="106"/>
      <c r="FVA492" s="106"/>
      <c r="FVB492" s="106"/>
      <c r="FVC492" s="106"/>
      <c r="FVD492" s="106"/>
      <c r="FVE492" s="106"/>
      <c r="FVF492" s="106"/>
      <c r="FVG492" s="106"/>
      <c r="FVH492" s="106"/>
      <c r="FVI492" s="106"/>
      <c r="FVJ492" s="106"/>
      <c r="FVK492" s="106"/>
      <c r="FVL492" s="106"/>
      <c r="FVM492" s="106"/>
      <c r="FVN492" s="106"/>
      <c r="FVO492" s="106"/>
      <c r="FVP492" s="106"/>
      <c r="FVQ492" s="106"/>
      <c r="FVR492" s="106"/>
      <c r="FVS492" s="106"/>
      <c r="FVT492" s="106"/>
      <c r="FVU492" s="106"/>
      <c r="FVV492" s="106"/>
      <c r="FVW492" s="106"/>
      <c r="FVX492" s="106"/>
      <c r="FVY492" s="106"/>
      <c r="FVZ492" s="106"/>
      <c r="FWA492" s="106"/>
      <c r="FWB492" s="106"/>
      <c r="FWC492" s="106"/>
      <c r="FWD492" s="106"/>
      <c r="FWE492" s="106"/>
      <c r="FWF492" s="106"/>
      <c r="FWG492" s="106"/>
      <c r="FWH492" s="106"/>
      <c r="FWI492" s="106"/>
      <c r="FWJ492" s="106"/>
      <c r="FWK492" s="106"/>
      <c r="FWL492" s="106"/>
      <c r="FWM492" s="106"/>
      <c r="FWN492" s="106"/>
      <c r="FWO492" s="106"/>
      <c r="FWP492" s="106"/>
      <c r="FWQ492" s="106"/>
      <c r="FWR492" s="106"/>
      <c r="FWS492" s="106"/>
      <c r="FWT492" s="106"/>
      <c r="FWU492" s="106"/>
      <c r="FWV492" s="106"/>
      <c r="FWW492" s="106"/>
      <c r="FWX492" s="106"/>
      <c r="FWY492" s="106"/>
      <c r="FWZ492" s="106"/>
      <c r="FXA492" s="106"/>
      <c r="FXB492" s="106"/>
      <c r="FXC492" s="106"/>
      <c r="FXD492" s="106"/>
      <c r="FXE492" s="106"/>
      <c r="FXF492" s="106"/>
      <c r="FXG492" s="106"/>
      <c r="FXH492" s="106"/>
      <c r="FXI492" s="106"/>
      <c r="FXJ492" s="106"/>
      <c r="FXK492" s="106"/>
      <c r="FXL492" s="106"/>
      <c r="FXM492" s="106"/>
      <c r="FXN492" s="106"/>
      <c r="FXO492" s="106"/>
      <c r="FXP492" s="106"/>
      <c r="FXQ492" s="106"/>
      <c r="FXR492" s="106"/>
      <c r="FXS492" s="106"/>
      <c r="FXT492" s="106"/>
      <c r="FXU492" s="106"/>
      <c r="FXV492" s="106"/>
      <c r="FXW492" s="106"/>
      <c r="FXX492" s="106"/>
      <c r="FXY492" s="106"/>
      <c r="FXZ492" s="106"/>
      <c r="FYA492" s="106"/>
      <c r="FYB492" s="106"/>
      <c r="FYC492" s="106"/>
      <c r="FYD492" s="106"/>
      <c r="FYE492" s="106"/>
      <c r="FYF492" s="106"/>
      <c r="FYG492" s="106"/>
      <c r="FYH492" s="106"/>
      <c r="FYI492" s="106"/>
      <c r="FYJ492" s="106"/>
      <c r="FYK492" s="106"/>
      <c r="FYL492" s="106"/>
      <c r="FYM492" s="106"/>
      <c r="FYN492" s="106"/>
      <c r="FYO492" s="106"/>
      <c r="FYP492" s="106"/>
      <c r="FYQ492" s="106"/>
      <c r="FYR492" s="106"/>
      <c r="FYS492" s="106"/>
      <c r="FYT492" s="106"/>
      <c r="FYU492" s="106"/>
      <c r="FYV492" s="106"/>
      <c r="FYW492" s="106"/>
      <c r="FYX492" s="106"/>
      <c r="FYY492" s="106"/>
      <c r="FYZ492" s="106"/>
      <c r="FZA492" s="106"/>
      <c r="FZB492" s="106"/>
      <c r="FZC492" s="106"/>
      <c r="FZD492" s="106"/>
      <c r="FZE492" s="106"/>
      <c r="FZF492" s="106"/>
      <c r="FZG492" s="106"/>
      <c r="FZH492" s="106"/>
      <c r="FZI492" s="106"/>
      <c r="FZJ492" s="106"/>
      <c r="FZK492" s="106"/>
      <c r="FZL492" s="106"/>
      <c r="FZM492" s="106"/>
      <c r="FZN492" s="106"/>
      <c r="FZO492" s="106"/>
      <c r="FZP492" s="106"/>
      <c r="FZQ492" s="106"/>
      <c r="FZR492" s="106"/>
      <c r="FZS492" s="106"/>
      <c r="FZT492" s="106"/>
      <c r="FZU492" s="106"/>
      <c r="FZV492" s="106"/>
      <c r="FZW492" s="106"/>
      <c r="FZX492" s="106"/>
      <c r="FZY492" s="106"/>
      <c r="FZZ492" s="106"/>
      <c r="GAA492" s="106"/>
      <c r="GAB492" s="106"/>
      <c r="GAC492" s="106"/>
      <c r="GAD492" s="106"/>
      <c r="GAE492" s="106"/>
      <c r="GAF492" s="106"/>
      <c r="GAG492" s="106"/>
      <c r="GAH492" s="106"/>
      <c r="GAI492" s="106"/>
      <c r="GAJ492" s="106"/>
      <c r="GAK492" s="106"/>
      <c r="GAL492" s="106"/>
      <c r="GAM492" s="106"/>
      <c r="GAN492" s="106"/>
      <c r="GAO492" s="106"/>
      <c r="GAP492" s="106"/>
      <c r="GAQ492" s="106"/>
      <c r="GAR492" s="106"/>
      <c r="GAS492" s="106"/>
      <c r="GAT492" s="106"/>
      <c r="GAU492" s="106"/>
      <c r="GAV492" s="106"/>
      <c r="GAW492" s="106"/>
      <c r="GAX492" s="106"/>
      <c r="GAY492" s="106"/>
      <c r="GAZ492" s="106"/>
      <c r="GBA492" s="106"/>
      <c r="GBB492" s="106"/>
      <c r="GBC492" s="106"/>
      <c r="GBD492" s="106"/>
      <c r="GBE492" s="106"/>
      <c r="GBF492" s="106"/>
      <c r="GBG492" s="106"/>
      <c r="GBH492" s="106"/>
      <c r="GBI492" s="106"/>
      <c r="GBJ492" s="106"/>
      <c r="GBK492" s="106"/>
      <c r="GBL492" s="106"/>
      <c r="GBM492" s="106"/>
      <c r="GBN492" s="106"/>
      <c r="GBO492" s="106"/>
      <c r="GBP492" s="106"/>
      <c r="GBQ492" s="106"/>
      <c r="GBR492" s="106"/>
      <c r="GBS492" s="106"/>
      <c r="GBT492" s="106"/>
      <c r="GBU492" s="106"/>
      <c r="GBV492" s="106"/>
      <c r="GBW492" s="106"/>
      <c r="GBX492" s="106"/>
      <c r="GBY492" s="106"/>
      <c r="GBZ492" s="106"/>
      <c r="GCA492" s="106"/>
      <c r="GCB492" s="106"/>
      <c r="GCC492" s="106"/>
      <c r="GCD492" s="106"/>
      <c r="GCE492" s="106"/>
      <c r="GCF492" s="106"/>
      <c r="GCG492" s="106"/>
      <c r="GCH492" s="106"/>
      <c r="GCI492" s="106"/>
      <c r="GCJ492" s="106"/>
      <c r="GCK492" s="106"/>
      <c r="GCL492" s="106"/>
      <c r="GCM492" s="106"/>
      <c r="GCN492" s="106"/>
      <c r="GCO492" s="106"/>
      <c r="GCP492" s="106"/>
      <c r="GCQ492" s="106"/>
      <c r="GCR492" s="106"/>
      <c r="GCS492" s="106"/>
      <c r="GCT492" s="106"/>
      <c r="GCU492" s="106"/>
      <c r="GCV492" s="106"/>
      <c r="GCW492" s="106"/>
      <c r="GCX492" s="106"/>
      <c r="GCY492" s="106"/>
      <c r="GCZ492" s="106"/>
      <c r="GDA492" s="106"/>
      <c r="GDB492" s="106"/>
      <c r="GDC492" s="106"/>
      <c r="GDD492" s="106"/>
      <c r="GDE492" s="106"/>
      <c r="GDF492" s="106"/>
      <c r="GDG492" s="106"/>
      <c r="GDH492" s="106"/>
      <c r="GDI492" s="106"/>
      <c r="GDJ492" s="106"/>
      <c r="GDK492" s="106"/>
      <c r="GDL492" s="106"/>
      <c r="GDM492" s="106"/>
      <c r="GDN492" s="106"/>
      <c r="GDO492" s="106"/>
      <c r="GDP492" s="106"/>
      <c r="GDQ492" s="106"/>
      <c r="GDR492" s="106"/>
      <c r="GDS492" s="106"/>
      <c r="GDT492" s="106"/>
      <c r="GDU492" s="106"/>
      <c r="GDV492" s="106"/>
      <c r="GDW492" s="106"/>
      <c r="GDX492" s="106"/>
      <c r="GDY492" s="106"/>
      <c r="GDZ492" s="106"/>
      <c r="GEA492" s="106"/>
      <c r="GEB492" s="106"/>
      <c r="GEC492" s="106"/>
      <c r="GED492" s="106"/>
      <c r="GEE492" s="106"/>
      <c r="GEF492" s="106"/>
      <c r="GEG492" s="106"/>
      <c r="GEH492" s="106"/>
      <c r="GEI492" s="106"/>
      <c r="GEJ492" s="106"/>
      <c r="GEK492" s="106"/>
      <c r="GEL492" s="106"/>
      <c r="GEM492" s="106"/>
      <c r="GEN492" s="106"/>
      <c r="GEO492" s="106"/>
      <c r="GEP492" s="106"/>
      <c r="GEQ492" s="106"/>
      <c r="GER492" s="106"/>
      <c r="GES492" s="106"/>
      <c r="GET492" s="106"/>
      <c r="GEU492" s="106"/>
      <c r="GEV492" s="106"/>
      <c r="GEW492" s="106"/>
      <c r="GEX492" s="106"/>
      <c r="GEY492" s="106"/>
      <c r="GEZ492" s="106"/>
      <c r="GFA492" s="106"/>
      <c r="GFB492" s="106"/>
      <c r="GFC492" s="106"/>
      <c r="GFD492" s="106"/>
      <c r="GFE492" s="106"/>
      <c r="GFF492" s="106"/>
      <c r="GFG492" s="106"/>
      <c r="GFH492" s="106"/>
      <c r="GFI492" s="106"/>
      <c r="GFJ492" s="106"/>
      <c r="GFK492" s="106"/>
      <c r="GFL492" s="106"/>
      <c r="GFM492" s="106"/>
      <c r="GFN492" s="106"/>
      <c r="GFO492" s="106"/>
      <c r="GFP492" s="106"/>
      <c r="GFQ492" s="106"/>
      <c r="GFR492" s="106"/>
      <c r="GFS492" s="106"/>
      <c r="GFT492" s="106"/>
      <c r="GFU492" s="106"/>
      <c r="GFV492" s="106"/>
      <c r="GFW492" s="106"/>
      <c r="GFX492" s="106"/>
      <c r="GFY492" s="106"/>
      <c r="GFZ492" s="106"/>
      <c r="GGA492" s="106"/>
      <c r="GGB492" s="106"/>
      <c r="GGC492" s="106"/>
      <c r="GGD492" s="106"/>
      <c r="GGE492" s="106"/>
      <c r="GGF492" s="106"/>
      <c r="GGG492" s="106"/>
      <c r="GGH492" s="106"/>
      <c r="GGI492" s="106"/>
      <c r="GGJ492" s="106"/>
      <c r="GGK492" s="106"/>
      <c r="GGL492" s="106"/>
      <c r="GGM492" s="106"/>
      <c r="GGN492" s="106"/>
      <c r="GGO492" s="106"/>
      <c r="GGP492" s="106"/>
      <c r="GGQ492" s="106"/>
      <c r="GGR492" s="106"/>
      <c r="GGS492" s="106"/>
      <c r="GGT492" s="106"/>
      <c r="GGU492" s="106"/>
      <c r="GGV492" s="106"/>
      <c r="GGW492" s="106"/>
      <c r="GGX492" s="106"/>
      <c r="GGY492" s="106"/>
      <c r="GGZ492" s="106"/>
      <c r="GHA492" s="106"/>
      <c r="GHB492" s="106"/>
      <c r="GHC492" s="106"/>
      <c r="GHD492" s="106"/>
      <c r="GHE492" s="106"/>
      <c r="GHF492" s="106"/>
      <c r="GHG492" s="106"/>
      <c r="GHH492" s="106"/>
      <c r="GHI492" s="106"/>
      <c r="GHJ492" s="106"/>
      <c r="GHK492" s="106"/>
      <c r="GHL492" s="106"/>
      <c r="GHM492" s="106"/>
      <c r="GHN492" s="106"/>
      <c r="GHO492" s="106"/>
      <c r="GHP492" s="106"/>
      <c r="GHQ492" s="106"/>
      <c r="GHR492" s="106"/>
      <c r="GHS492" s="106"/>
      <c r="GHT492" s="106"/>
      <c r="GHU492" s="106"/>
      <c r="GHV492" s="106"/>
      <c r="GHW492" s="106"/>
      <c r="GHX492" s="106"/>
      <c r="GHY492" s="106"/>
      <c r="GHZ492" s="106"/>
      <c r="GIA492" s="106"/>
      <c r="GIB492" s="106"/>
      <c r="GIC492" s="106"/>
      <c r="GID492" s="106"/>
      <c r="GIE492" s="106"/>
      <c r="GIF492" s="106"/>
      <c r="GIG492" s="106"/>
      <c r="GIH492" s="106"/>
      <c r="GII492" s="106"/>
      <c r="GIJ492" s="106"/>
      <c r="GIK492" s="106"/>
      <c r="GIL492" s="106"/>
      <c r="GIM492" s="106"/>
      <c r="GIN492" s="106"/>
      <c r="GIO492" s="106"/>
      <c r="GIP492" s="106"/>
      <c r="GIQ492" s="106"/>
      <c r="GIR492" s="106"/>
      <c r="GIS492" s="106"/>
      <c r="GIT492" s="106"/>
      <c r="GIU492" s="106"/>
      <c r="GIV492" s="106"/>
      <c r="GIW492" s="106"/>
      <c r="GIX492" s="106"/>
      <c r="GIY492" s="106"/>
      <c r="GIZ492" s="106"/>
      <c r="GJA492" s="106"/>
      <c r="GJB492" s="106"/>
      <c r="GJC492" s="106"/>
      <c r="GJD492" s="106"/>
      <c r="GJE492" s="106"/>
      <c r="GJF492" s="106"/>
      <c r="GJG492" s="106"/>
      <c r="GJH492" s="106"/>
      <c r="GJI492" s="106"/>
      <c r="GJJ492" s="106"/>
      <c r="GJK492" s="106"/>
      <c r="GJL492" s="106"/>
      <c r="GJM492" s="106"/>
      <c r="GJN492" s="106"/>
      <c r="GJO492" s="106"/>
      <c r="GJP492" s="106"/>
      <c r="GJQ492" s="106"/>
      <c r="GJR492" s="106"/>
      <c r="GJS492" s="106"/>
      <c r="GJT492" s="106"/>
      <c r="GJU492" s="106"/>
      <c r="GJV492" s="106"/>
      <c r="GJW492" s="106"/>
      <c r="GJX492" s="106"/>
      <c r="GJY492" s="106"/>
      <c r="GJZ492" s="106"/>
      <c r="GKA492" s="106"/>
      <c r="GKB492" s="106"/>
      <c r="GKC492" s="106"/>
      <c r="GKD492" s="106"/>
      <c r="GKE492" s="106"/>
      <c r="GKF492" s="106"/>
      <c r="GKG492" s="106"/>
      <c r="GKH492" s="106"/>
      <c r="GKI492" s="106"/>
      <c r="GKJ492" s="106"/>
      <c r="GKK492" s="106"/>
      <c r="GKL492" s="106"/>
      <c r="GKM492" s="106"/>
      <c r="GKN492" s="106"/>
      <c r="GKO492" s="106"/>
      <c r="GKP492" s="106"/>
      <c r="GKQ492" s="106"/>
      <c r="GKR492" s="106"/>
      <c r="GKS492" s="106"/>
      <c r="GKT492" s="106"/>
      <c r="GKU492" s="106"/>
      <c r="GKV492" s="106"/>
      <c r="GKW492" s="106"/>
      <c r="GKX492" s="106"/>
      <c r="GKY492" s="106"/>
      <c r="GKZ492" s="106"/>
      <c r="GLA492" s="106"/>
      <c r="GLB492" s="106"/>
      <c r="GLC492" s="106"/>
      <c r="GLD492" s="106"/>
      <c r="GLE492" s="106"/>
      <c r="GLF492" s="106"/>
      <c r="GLG492" s="106"/>
      <c r="GLH492" s="106"/>
      <c r="GLI492" s="106"/>
      <c r="GLJ492" s="106"/>
      <c r="GLK492" s="106"/>
      <c r="GLL492" s="106"/>
      <c r="GLM492" s="106"/>
      <c r="GLN492" s="106"/>
      <c r="GLO492" s="106"/>
      <c r="GLP492" s="106"/>
      <c r="GLQ492" s="106"/>
      <c r="GLR492" s="106"/>
      <c r="GLS492" s="106"/>
      <c r="GLT492" s="106"/>
      <c r="GLU492" s="106"/>
      <c r="GLV492" s="106"/>
      <c r="GLW492" s="106"/>
      <c r="GLX492" s="106"/>
      <c r="GLY492" s="106"/>
      <c r="GLZ492" s="106"/>
      <c r="GMA492" s="106"/>
      <c r="GMB492" s="106"/>
      <c r="GMC492" s="106"/>
      <c r="GMD492" s="106"/>
      <c r="GME492" s="106"/>
      <c r="GMF492" s="106"/>
      <c r="GMG492" s="106"/>
      <c r="GMH492" s="106"/>
      <c r="GMI492" s="106"/>
      <c r="GMJ492" s="106"/>
      <c r="GMK492" s="106"/>
      <c r="GML492" s="106"/>
      <c r="GMM492" s="106"/>
      <c r="GMN492" s="106"/>
      <c r="GMO492" s="106"/>
      <c r="GMP492" s="106"/>
      <c r="GMQ492" s="106"/>
      <c r="GMR492" s="106"/>
      <c r="GMS492" s="106"/>
      <c r="GMT492" s="106"/>
      <c r="GMU492" s="106"/>
      <c r="GMV492" s="106"/>
      <c r="GMW492" s="106"/>
      <c r="GMX492" s="106"/>
      <c r="GMY492" s="106"/>
      <c r="GMZ492" s="106"/>
      <c r="GNA492" s="106"/>
      <c r="GNB492" s="106"/>
      <c r="GNC492" s="106"/>
      <c r="GND492" s="106"/>
      <c r="GNE492" s="106"/>
      <c r="GNF492" s="106"/>
      <c r="GNG492" s="106"/>
      <c r="GNH492" s="106"/>
      <c r="GNI492" s="106"/>
      <c r="GNJ492" s="106"/>
      <c r="GNK492" s="106"/>
      <c r="GNL492" s="106"/>
      <c r="GNM492" s="106"/>
      <c r="GNN492" s="106"/>
      <c r="GNO492" s="106"/>
      <c r="GNP492" s="106"/>
      <c r="GNQ492" s="106"/>
      <c r="GNR492" s="106"/>
      <c r="GNS492" s="106"/>
      <c r="GNT492" s="106"/>
      <c r="GNU492" s="106"/>
      <c r="GNV492" s="106"/>
      <c r="GNW492" s="106"/>
      <c r="GNX492" s="106"/>
      <c r="GNY492" s="106"/>
      <c r="GNZ492" s="106"/>
      <c r="GOA492" s="106"/>
      <c r="GOB492" s="106"/>
      <c r="GOC492" s="106"/>
      <c r="GOD492" s="106"/>
      <c r="GOE492" s="106"/>
      <c r="GOF492" s="106"/>
      <c r="GOG492" s="106"/>
      <c r="GOH492" s="106"/>
      <c r="GOI492" s="106"/>
      <c r="GOJ492" s="106"/>
      <c r="GOK492" s="106"/>
      <c r="GOL492" s="106"/>
      <c r="GOM492" s="106"/>
      <c r="GON492" s="106"/>
      <c r="GOO492" s="106"/>
      <c r="GOP492" s="106"/>
      <c r="GOQ492" s="106"/>
      <c r="GOR492" s="106"/>
      <c r="GOS492" s="106"/>
      <c r="GOT492" s="106"/>
      <c r="GOU492" s="106"/>
      <c r="GOV492" s="106"/>
      <c r="GOW492" s="106"/>
      <c r="GOX492" s="106"/>
      <c r="GOY492" s="106"/>
      <c r="GOZ492" s="106"/>
      <c r="GPA492" s="106"/>
      <c r="GPB492" s="106"/>
      <c r="GPC492" s="106"/>
      <c r="GPD492" s="106"/>
      <c r="GPE492" s="106"/>
      <c r="GPF492" s="106"/>
      <c r="GPG492" s="106"/>
      <c r="GPH492" s="106"/>
      <c r="GPI492" s="106"/>
      <c r="GPJ492" s="106"/>
      <c r="GPK492" s="106"/>
      <c r="GPL492" s="106"/>
      <c r="GPM492" s="106"/>
      <c r="GPN492" s="106"/>
      <c r="GPO492" s="106"/>
      <c r="GPP492" s="106"/>
      <c r="GPQ492" s="106"/>
      <c r="GPR492" s="106"/>
      <c r="GPS492" s="106"/>
      <c r="GPT492" s="106"/>
      <c r="GPU492" s="106"/>
      <c r="GPV492" s="106"/>
      <c r="GPW492" s="106"/>
      <c r="GPX492" s="106"/>
      <c r="GPY492" s="106"/>
      <c r="GPZ492" s="106"/>
      <c r="GQA492" s="106"/>
      <c r="GQB492" s="106"/>
      <c r="GQC492" s="106"/>
      <c r="GQD492" s="106"/>
      <c r="GQE492" s="106"/>
      <c r="GQF492" s="106"/>
      <c r="GQG492" s="106"/>
      <c r="GQH492" s="106"/>
      <c r="GQI492" s="106"/>
      <c r="GQJ492" s="106"/>
      <c r="GQK492" s="106"/>
      <c r="GQL492" s="106"/>
      <c r="GQM492" s="106"/>
      <c r="GQN492" s="106"/>
      <c r="GQO492" s="106"/>
      <c r="GQP492" s="106"/>
      <c r="GQQ492" s="106"/>
      <c r="GQR492" s="106"/>
      <c r="GQS492" s="106"/>
      <c r="GQT492" s="106"/>
      <c r="GQU492" s="106"/>
      <c r="GQV492" s="106"/>
      <c r="GQW492" s="106"/>
      <c r="GQX492" s="106"/>
      <c r="GQY492" s="106"/>
      <c r="GQZ492" s="106"/>
      <c r="GRA492" s="106"/>
      <c r="GRB492" s="106"/>
      <c r="GRC492" s="106"/>
      <c r="GRD492" s="106"/>
      <c r="GRE492" s="106"/>
      <c r="GRF492" s="106"/>
      <c r="GRG492" s="106"/>
      <c r="GRH492" s="106"/>
      <c r="GRI492" s="106"/>
      <c r="GRJ492" s="106"/>
      <c r="GRK492" s="106"/>
      <c r="GRL492" s="106"/>
      <c r="GRM492" s="106"/>
      <c r="GRN492" s="106"/>
      <c r="GRO492" s="106"/>
      <c r="GRP492" s="106"/>
      <c r="GRQ492" s="106"/>
      <c r="GRR492" s="106"/>
      <c r="GRS492" s="106"/>
      <c r="GRT492" s="106"/>
      <c r="GRU492" s="106"/>
      <c r="GRV492" s="106"/>
      <c r="GRW492" s="106"/>
      <c r="GRX492" s="106"/>
      <c r="GRY492" s="106"/>
      <c r="GRZ492" s="106"/>
      <c r="GSA492" s="106"/>
      <c r="GSB492" s="106"/>
      <c r="GSC492" s="106"/>
      <c r="GSD492" s="106"/>
      <c r="GSE492" s="106"/>
      <c r="GSF492" s="106"/>
      <c r="GSG492" s="106"/>
      <c r="GSH492" s="106"/>
      <c r="GSI492" s="106"/>
      <c r="GSJ492" s="106"/>
      <c r="GSK492" s="106"/>
      <c r="GSL492" s="106"/>
      <c r="GSM492" s="106"/>
      <c r="GSN492" s="106"/>
      <c r="GSO492" s="106"/>
      <c r="GSP492" s="106"/>
      <c r="GSQ492" s="106"/>
      <c r="GSR492" s="106"/>
      <c r="GSS492" s="106"/>
      <c r="GST492" s="106"/>
      <c r="GSU492" s="106"/>
      <c r="GSV492" s="106"/>
      <c r="GSW492" s="106"/>
      <c r="GSX492" s="106"/>
      <c r="GSY492" s="106"/>
      <c r="GSZ492" s="106"/>
      <c r="GTA492" s="106"/>
      <c r="GTB492" s="106"/>
      <c r="GTC492" s="106"/>
      <c r="GTD492" s="106"/>
      <c r="GTE492" s="106"/>
      <c r="GTF492" s="106"/>
      <c r="GTG492" s="106"/>
      <c r="GTH492" s="106"/>
      <c r="GTI492" s="106"/>
      <c r="GTJ492" s="106"/>
      <c r="GTK492" s="106"/>
      <c r="GTL492" s="106"/>
      <c r="GTM492" s="106"/>
      <c r="GTN492" s="106"/>
      <c r="GTO492" s="106"/>
      <c r="GTP492" s="106"/>
      <c r="GTQ492" s="106"/>
      <c r="GTR492" s="106"/>
      <c r="GTS492" s="106"/>
      <c r="GTT492" s="106"/>
      <c r="GTU492" s="106"/>
      <c r="GTV492" s="106"/>
      <c r="GTW492" s="106"/>
      <c r="GTX492" s="106"/>
      <c r="GTY492" s="106"/>
      <c r="GTZ492" s="106"/>
      <c r="GUA492" s="106"/>
      <c r="GUB492" s="106"/>
      <c r="GUC492" s="106"/>
      <c r="GUD492" s="106"/>
      <c r="GUE492" s="106"/>
      <c r="GUF492" s="106"/>
      <c r="GUG492" s="106"/>
      <c r="GUH492" s="106"/>
      <c r="GUI492" s="106"/>
      <c r="GUJ492" s="106"/>
      <c r="GUK492" s="106"/>
      <c r="GUL492" s="106"/>
      <c r="GUM492" s="106"/>
      <c r="GUN492" s="106"/>
      <c r="GUO492" s="106"/>
      <c r="GUP492" s="106"/>
      <c r="GUQ492" s="106"/>
      <c r="GUR492" s="106"/>
      <c r="GUS492" s="106"/>
      <c r="GUT492" s="106"/>
      <c r="GUU492" s="106"/>
      <c r="GUV492" s="106"/>
      <c r="GUW492" s="106"/>
      <c r="GUX492" s="106"/>
      <c r="GUY492" s="106"/>
      <c r="GUZ492" s="106"/>
      <c r="GVA492" s="106"/>
      <c r="GVB492" s="106"/>
      <c r="GVC492" s="106"/>
      <c r="GVD492" s="106"/>
      <c r="GVE492" s="106"/>
      <c r="GVF492" s="106"/>
      <c r="GVG492" s="106"/>
      <c r="GVH492" s="106"/>
      <c r="GVI492" s="106"/>
      <c r="GVJ492" s="106"/>
      <c r="GVK492" s="106"/>
      <c r="GVL492" s="106"/>
      <c r="GVM492" s="106"/>
      <c r="GVN492" s="106"/>
      <c r="GVO492" s="106"/>
      <c r="GVP492" s="106"/>
      <c r="GVQ492" s="106"/>
      <c r="GVR492" s="106"/>
      <c r="GVS492" s="106"/>
      <c r="GVT492" s="106"/>
      <c r="GVU492" s="106"/>
      <c r="GVV492" s="106"/>
      <c r="GVW492" s="106"/>
      <c r="GVX492" s="106"/>
      <c r="GVY492" s="106"/>
      <c r="GVZ492" s="106"/>
      <c r="GWA492" s="106"/>
      <c r="GWB492" s="106"/>
      <c r="GWC492" s="106"/>
      <c r="GWD492" s="106"/>
      <c r="GWE492" s="106"/>
      <c r="GWF492" s="106"/>
      <c r="GWG492" s="106"/>
      <c r="GWH492" s="106"/>
      <c r="GWI492" s="106"/>
      <c r="GWJ492" s="106"/>
      <c r="GWK492" s="106"/>
      <c r="GWL492" s="106"/>
      <c r="GWM492" s="106"/>
      <c r="GWN492" s="106"/>
      <c r="GWO492" s="106"/>
      <c r="GWP492" s="106"/>
      <c r="GWQ492" s="106"/>
      <c r="GWR492" s="106"/>
      <c r="GWS492" s="106"/>
      <c r="GWT492" s="106"/>
      <c r="GWU492" s="106"/>
      <c r="GWV492" s="106"/>
      <c r="GWW492" s="106"/>
      <c r="GWX492" s="106"/>
      <c r="GWY492" s="106"/>
      <c r="GWZ492" s="106"/>
      <c r="GXA492" s="106"/>
      <c r="GXB492" s="106"/>
      <c r="GXC492" s="106"/>
      <c r="GXD492" s="106"/>
      <c r="GXE492" s="106"/>
      <c r="GXF492" s="106"/>
      <c r="GXG492" s="106"/>
      <c r="GXH492" s="106"/>
      <c r="GXI492" s="106"/>
      <c r="GXJ492" s="106"/>
      <c r="GXK492" s="106"/>
      <c r="GXL492" s="106"/>
      <c r="GXM492" s="106"/>
      <c r="GXN492" s="106"/>
      <c r="GXO492" s="106"/>
      <c r="GXP492" s="106"/>
      <c r="GXQ492" s="106"/>
      <c r="GXR492" s="106"/>
      <c r="GXS492" s="106"/>
      <c r="GXT492" s="106"/>
      <c r="GXU492" s="106"/>
      <c r="GXV492" s="106"/>
      <c r="GXW492" s="106"/>
      <c r="GXX492" s="106"/>
      <c r="GXY492" s="106"/>
      <c r="GXZ492" s="106"/>
      <c r="GYA492" s="106"/>
      <c r="GYB492" s="106"/>
      <c r="GYC492" s="106"/>
      <c r="GYD492" s="106"/>
      <c r="GYE492" s="106"/>
      <c r="GYF492" s="106"/>
      <c r="GYG492" s="106"/>
      <c r="GYH492" s="106"/>
      <c r="GYI492" s="106"/>
      <c r="GYJ492" s="106"/>
      <c r="GYK492" s="106"/>
      <c r="GYL492" s="106"/>
      <c r="GYM492" s="106"/>
      <c r="GYN492" s="106"/>
      <c r="GYO492" s="106"/>
      <c r="GYP492" s="106"/>
      <c r="GYQ492" s="106"/>
      <c r="GYR492" s="106"/>
      <c r="GYS492" s="106"/>
      <c r="GYT492" s="106"/>
      <c r="GYU492" s="106"/>
      <c r="GYV492" s="106"/>
      <c r="GYW492" s="106"/>
      <c r="GYX492" s="106"/>
      <c r="GYY492" s="106"/>
      <c r="GYZ492" s="106"/>
      <c r="GZA492" s="106"/>
      <c r="GZB492" s="106"/>
      <c r="GZC492" s="106"/>
      <c r="GZD492" s="106"/>
      <c r="GZE492" s="106"/>
      <c r="GZF492" s="106"/>
      <c r="GZG492" s="106"/>
      <c r="GZH492" s="106"/>
      <c r="GZI492" s="106"/>
      <c r="GZJ492" s="106"/>
      <c r="GZK492" s="106"/>
      <c r="GZL492" s="106"/>
      <c r="GZM492" s="106"/>
      <c r="GZN492" s="106"/>
      <c r="GZO492" s="106"/>
      <c r="GZP492" s="106"/>
      <c r="GZQ492" s="106"/>
      <c r="GZR492" s="106"/>
      <c r="GZS492" s="106"/>
      <c r="GZT492" s="106"/>
      <c r="GZU492" s="106"/>
      <c r="GZV492" s="106"/>
      <c r="GZW492" s="106"/>
      <c r="GZX492" s="106"/>
      <c r="GZY492" s="106"/>
      <c r="GZZ492" s="106"/>
      <c r="HAA492" s="106"/>
      <c r="HAB492" s="106"/>
      <c r="HAC492" s="106"/>
      <c r="HAD492" s="106"/>
      <c r="HAE492" s="106"/>
      <c r="HAF492" s="106"/>
      <c r="HAG492" s="106"/>
      <c r="HAH492" s="106"/>
      <c r="HAI492" s="106"/>
      <c r="HAJ492" s="106"/>
      <c r="HAK492" s="106"/>
      <c r="HAL492" s="106"/>
      <c r="HAM492" s="106"/>
      <c r="HAN492" s="106"/>
      <c r="HAO492" s="106"/>
      <c r="HAP492" s="106"/>
      <c r="HAQ492" s="106"/>
      <c r="HAR492" s="106"/>
      <c r="HAS492" s="106"/>
      <c r="HAT492" s="106"/>
      <c r="HAU492" s="106"/>
      <c r="HAV492" s="106"/>
      <c r="HAW492" s="106"/>
      <c r="HAX492" s="106"/>
      <c r="HAY492" s="106"/>
      <c r="HAZ492" s="106"/>
      <c r="HBA492" s="106"/>
      <c r="HBB492" s="106"/>
      <c r="HBC492" s="106"/>
      <c r="HBD492" s="106"/>
      <c r="HBE492" s="106"/>
      <c r="HBF492" s="106"/>
      <c r="HBG492" s="106"/>
      <c r="HBH492" s="106"/>
      <c r="HBI492" s="106"/>
      <c r="HBJ492" s="106"/>
      <c r="HBK492" s="106"/>
      <c r="HBL492" s="106"/>
      <c r="HBM492" s="106"/>
      <c r="HBN492" s="106"/>
      <c r="HBO492" s="106"/>
      <c r="HBP492" s="106"/>
      <c r="HBQ492" s="106"/>
      <c r="HBR492" s="106"/>
      <c r="HBS492" s="106"/>
      <c r="HBT492" s="106"/>
      <c r="HBU492" s="106"/>
      <c r="HBV492" s="106"/>
      <c r="HBW492" s="106"/>
      <c r="HBX492" s="106"/>
      <c r="HBY492" s="106"/>
      <c r="HBZ492" s="106"/>
      <c r="HCA492" s="106"/>
      <c r="HCB492" s="106"/>
      <c r="HCC492" s="106"/>
      <c r="HCD492" s="106"/>
      <c r="HCE492" s="106"/>
      <c r="HCF492" s="106"/>
      <c r="HCG492" s="106"/>
      <c r="HCH492" s="106"/>
      <c r="HCI492" s="106"/>
      <c r="HCJ492" s="106"/>
      <c r="HCK492" s="106"/>
      <c r="HCL492" s="106"/>
      <c r="HCM492" s="106"/>
      <c r="HCN492" s="106"/>
      <c r="HCO492" s="106"/>
      <c r="HCP492" s="106"/>
      <c r="HCQ492" s="106"/>
      <c r="HCR492" s="106"/>
      <c r="HCS492" s="106"/>
      <c r="HCT492" s="106"/>
      <c r="HCU492" s="106"/>
      <c r="HCV492" s="106"/>
      <c r="HCW492" s="106"/>
      <c r="HCX492" s="106"/>
      <c r="HCY492" s="106"/>
      <c r="HCZ492" s="106"/>
      <c r="HDA492" s="106"/>
      <c r="HDB492" s="106"/>
      <c r="HDC492" s="106"/>
      <c r="HDD492" s="106"/>
      <c r="HDE492" s="106"/>
      <c r="HDF492" s="106"/>
      <c r="HDG492" s="106"/>
      <c r="HDH492" s="106"/>
      <c r="HDI492" s="106"/>
      <c r="HDJ492" s="106"/>
      <c r="HDK492" s="106"/>
      <c r="HDL492" s="106"/>
      <c r="HDM492" s="106"/>
      <c r="HDN492" s="106"/>
      <c r="HDO492" s="106"/>
      <c r="HDP492" s="106"/>
      <c r="HDQ492" s="106"/>
      <c r="HDR492" s="106"/>
      <c r="HDS492" s="106"/>
      <c r="HDT492" s="106"/>
      <c r="HDU492" s="106"/>
      <c r="HDV492" s="106"/>
      <c r="HDW492" s="106"/>
      <c r="HDX492" s="106"/>
      <c r="HDY492" s="106"/>
      <c r="HDZ492" s="106"/>
      <c r="HEA492" s="106"/>
      <c r="HEB492" s="106"/>
      <c r="HEC492" s="106"/>
      <c r="HED492" s="106"/>
      <c r="HEE492" s="106"/>
      <c r="HEF492" s="106"/>
      <c r="HEG492" s="106"/>
      <c r="HEH492" s="106"/>
      <c r="HEI492" s="106"/>
      <c r="HEJ492" s="106"/>
      <c r="HEK492" s="106"/>
      <c r="HEL492" s="106"/>
      <c r="HEM492" s="106"/>
      <c r="HEN492" s="106"/>
      <c r="HEO492" s="106"/>
      <c r="HEP492" s="106"/>
      <c r="HEQ492" s="106"/>
      <c r="HER492" s="106"/>
      <c r="HES492" s="106"/>
      <c r="HET492" s="106"/>
      <c r="HEU492" s="106"/>
      <c r="HEV492" s="106"/>
      <c r="HEW492" s="106"/>
      <c r="HEX492" s="106"/>
      <c r="HEY492" s="106"/>
      <c r="HEZ492" s="106"/>
      <c r="HFA492" s="106"/>
      <c r="HFB492" s="106"/>
      <c r="HFC492" s="106"/>
      <c r="HFD492" s="106"/>
      <c r="HFE492" s="106"/>
      <c r="HFF492" s="106"/>
      <c r="HFG492" s="106"/>
      <c r="HFH492" s="106"/>
      <c r="HFI492" s="106"/>
      <c r="HFJ492" s="106"/>
      <c r="HFK492" s="106"/>
      <c r="HFL492" s="106"/>
      <c r="HFM492" s="106"/>
      <c r="HFN492" s="106"/>
      <c r="HFO492" s="106"/>
      <c r="HFP492" s="106"/>
      <c r="HFQ492" s="106"/>
      <c r="HFR492" s="106"/>
      <c r="HFS492" s="106"/>
      <c r="HFT492" s="106"/>
      <c r="HFU492" s="106"/>
      <c r="HFV492" s="106"/>
      <c r="HFW492" s="106"/>
      <c r="HFX492" s="106"/>
      <c r="HFY492" s="106"/>
      <c r="HFZ492" s="106"/>
      <c r="HGA492" s="106"/>
      <c r="HGB492" s="106"/>
      <c r="HGC492" s="106"/>
      <c r="HGD492" s="106"/>
      <c r="HGE492" s="106"/>
      <c r="HGF492" s="106"/>
      <c r="HGG492" s="106"/>
      <c r="HGH492" s="106"/>
      <c r="HGI492" s="106"/>
      <c r="HGJ492" s="106"/>
      <c r="HGK492" s="106"/>
      <c r="HGL492" s="106"/>
      <c r="HGM492" s="106"/>
      <c r="HGN492" s="106"/>
      <c r="HGO492" s="106"/>
      <c r="HGP492" s="106"/>
      <c r="HGQ492" s="106"/>
      <c r="HGR492" s="106"/>
      <c r="HGS492" s="106"/>
      <c r="HGT492" s="106"/>
      <c r="HGU492" s="106"/>
      <c r="HGV492" s="106"/>
      <c r="HGW492" s="106"/>
      <c r="HGX492" s="106"/>
      <c r="HGY492" s="106"/>
      <c r="HGZ492" s="106"/>
      <c r="HHA492" s="106"/>
      <c r="HHB492" s="106"/>
      <c r="HHC492" s="106"/>
      <c r="HHD492" s="106"/>
      <c r="HHE492" s="106"/>
      <c r="HHF492" s="106"/>
      <c r="HHG492" s="106"/>
      <c r="HHH492" s="106"/>
      <c r="HHI492" s="106"/>
      <c r="HHJ492" s="106"/>
      <c r="HHK492" s="106"/>
      <c r="HHL492" s="106"/>
      <c r="HHM492" s="106"/>
      <c r="HHN492" s="106"/>
      <c r="HHO492" s="106"/>
      <c r="HHP492" s="106"/>
      <c r="HHQ492" s="106"/>
      <c r="HHR492" s="106"/>
      <c r="HHS492" s="106"/>
      <c r="HHT492" s="106"/>
      <c r="HHU492" s="106"/>
      <c r="HHV492" s="106"/>
      <c r="HHW492" s="106"/>
      <c r="HHX492" s="106"/>
      <c r="HHY492" s="106"/>
      <c r="HHZ492" s="106"/>
      <c r="HIA492" s="106"/>
      <c r="HIB492" s="106"/>
      <c r="HIC492" s="106"/>
      <c r="HID492" s="106"/>
      <c r="HIE492" s="106"/>
      <c r="HIF492" s="106"/>
      <c r="HIG492" s="106"/>
      <c r="HIH492" s="106"/>
      <c r="HII492" s="106"/>
      <c r="HIJ492" s="106"/>
      <c r="HIK492" s="106"/>
      <c r="HIL492" s="106"/>
      <c r="HIM492" s="106"/>
      <c r="HIN492" s="106"/>
      <c r="HIO492" s="106"/>
      <c r="HIP492" s="106"/>
      <c r="HIQ492" s="106"/>
      <c r="HIR492" s="106"/>
      <c r="HIS492" s="106"/>
      <c r="HIT492" s="106"/>
      <c r="HIU492" s="106"/>
      <c r="HIV492" s="106"/>
      <c r="HIW492" s="106"/>
      <c r="HIX492" s="106"/>
      <c r="HIY492" s="106"/>
      <c r="HIZ492" s="106"/>
      <c r="HJA492" s="106"/>
      <c r="HJB492" s="106"/>
      <c r="HJC492" s="106"/>
      <c r="HJD492" s="106"/>
      <c r="HJE492" s="106"/>
      <c r="HJF492" s="106"/>
      <c r="HJG492" s="106"/>
      <c r="HJH492" s="106"/>
      <c r="HJI492" s="106"/>
      <c r="HJJ492" s="106"/>
      <c r="HJK492" s="106"/>
      <c r="HJL492" s="106"/>
      <c r="HJM492" s="106"/>
      <c r="HJN492" s="106"/>
      <c r="HJO492" s="106"/>
      <c r="HJP492" s="106"/>
      <c r="HJQ492" s="106"/>
      <c r="HJR492" s="106"/>
      <c r="HJS492" s="106"/>
      <c r="HJT492" s="106"/>
      <c r="HJU492" s="106"/>
      <c r="HJV492" s="106"/>
      <c r="HJW492" s="106"/>
      <c r="HJX492" s="106"/>
      <c r="HJY492" s="106"/>
      <c r="HJZ492" s="106"/>
      <c r="HKA492" s="106"/>
      <c r="HKB492" s="106"/>
      <c r="HKC492" s="106"/>
      <c r="HKD492" s="106"/>
      <c r="HKE492" s="106"/>
      <c r="HKF492" s="106"/>
      <c r="HKG492" s="106"/>
      <c r="HKH492" s="106"/>
      <c r="HKI492" s="106"/>
      <c r="HKJ492" s="106"/>
      <c r="HKK492" s="106"/>
      <c r="HKL492" s="106"/>
      <c r="HKM492" s="106"/>
      <c r="HKN492" s="106"/>
      <c r="HKO492" s="106"/>
      <c r="HKP492" s="106"/>
      <c r="HKQ492" s="106"/>
      <c r="HKR492" s="106"/>
      <c r="HKS492" s="106"/>
      <c r="HKT492" s="106"/>
      <c r="HKU492" s="106"/>
      <c r="HKV492" s="106"/>
      <c r="HKW492" s="106"/>
      <c r="HKX492" s="106"/>
      <c r="HKY492" s="106"/>
      <c r="HKZ492" s="106"/>
      <c r="HLA492" s="106"/>
      <c r="HLB492" s="106"/>
      <c r="HLC492" s="106"/>
      <c r="HLD492" s="106"/>
      <c r="HLE492" s="106"/>
      <c r="HLF492" s="106"/>
      <c r="HLG492" s="106"/>
      <c r="HLH492" s="106"/>
      <c r="HLI492" s="106"/>
      <c r="HLJ492" s="106"/>
      <c r="HLK492" s="106"/>
      <c r="HLL492" s="106"/>
      <c r="HLM492" s="106"/>
      <c r="HLN492" s="106"/>
      <c r="HLO492" s="106"/>
      <c r="HLP492" s="106"/>
      <c r="HLQ492" s="106"/>
      <c r="HLR492" s="106"/>
      <c r="HLS492" s="106"/>
      <c r="HLT492" s="106"/>
      <c r="HLU492" s="106"/>
      <c r="HLV492" s="106"/>
      <c r="HLW492" s="106"/>
      <c r="HLX492" s="106"/>
      <c r="HLY492" s="106"/>
      <c r="HLZ492" s="106"/>
      <c r="HMA492" s="106"/>
      <c r="HMB492" s="106"/>
      <c r="HMC492" s="106"/>
      <c r="HMD492" s="106"/>
      <c r="HME492" s="106"/>
      <c r="HMF492" s="106"/>
      <c r="HMG492" s="106"/>
      <c r="HMH492" s="106"/>
      <c r="HMI492" s="106"/>
      <c r="HMJ492" s="106"/>
      <c r="HMK492" s="106"/>
      <c r="HML492" s="106"/>
      <c r="HMM492" s="106"/>
      <c r="HMN492" s="106"/>
      <c r="HMO492" s="106"/>
      <c r="HMP492" s="106"/>
      <c r="HMQ492" s="106"/>
      <c r="HMR492" s="106"/>
      <c r="HMS492" s="106"/>
      <c r="HMT492" s="106"/>
      <c r="HMU492" s="106"/>
      <c r="HMV492" s="106"/>
      <c r="HMW492" s="106"/>
      <c r="HMX492" s="106"/>
      <c r="HMY492" s="106"/>
      <c r="HMZ492" s="106"/>
      <c r="HNA492" s="106"/>
      <c r="HNB492" s="106"/>
      <c r="HNC492" s="106"/>
      <c r="HND492" s="106"/>
      <c r="HNE492" s="106"/>
      <c r="HNF492" s="106"/>
      <c r="HNG492" s="106"/>
      <c r="HNH492" s="106"/>
      <c r="HNI492" s="106"/>
      <c r="HNJ492" s="106"/>
      <c r="HNK492" s="106"/>
      <c r="HNL492" s="106"/>
      <c r="HNM492" s="106"/>
      <c r="HNN492" s="106"/>
      <c r="HNO492" s="106"/>
      <c r="HNP492" s="106"/>
      <c r="HNQ492" s="106"/>
      <c r="HNR492" s="106"/>
      <c r="HNS492" s="106"/>
      <c r="HNT492" s="106"/>
      <c r="HNU492" s="106"/>
      <c r="HNV492" s="106"/>
      <c r="HNW492" s="106"/>
      <c r="HNX492" s="106"/>
      <c r="HNY492" s="106"/>
      <c r="HNZ492" s="106"/>
      <c r="HOA492" s="106"/>
      <c r="HOB492" s="106"/>
      <c r="HOC492" s="106"/>
      <c r="HOD492" s="106"/>
      <c r="HOE492" s="106"/>
      <c r="HOF492" s="106"/>
      <c r="HOG492" s="106"/>
      <c r="HOH492" s="106"/>
      <c r="HOI492" s="106"/>
      <c r="HOJ492" s="106"/>
      <c r="HOK492" s="106"/>
      <c r="HOL492" s="106"/>
      <c r="HOM492" s="106"/>
      <c r="HON492" s="106"/>
      <c r="HOO492" s="106"/>
      <c r="HOP492" s="106"/>
      <c r="HOQ492" s="106"/>
      <c r="HOR492" s="106"/>
      <c r="HOS492" s="106"/>
      <c r="HOT492" s="106"/>
      <c r="HOU492" s="106"/>
      <c r="HOV492" s="106"/>
      <c r="HOW492" s="106"/>
      <c r="HOX492" s="106"/>
      <c r="HOY492" s="106"/>
      <c r="HOZ492" s="106"/>
      <c r="HPA492" s="106"/>
      <c r="HPB492" s="106"/>
      <c r="HPC492" s="106"/>
      <c r="HPD492" s="106"/>
      <c r="HPE492" s="106"/>
      <c r="HPF492" s="106"/>
      <c r="HPG492" s="106"/>
      <c r="HPH492" s="106"/>
      <c r="HPI492" s="106"/>
      <c r="HPJ492" s="106"/>
      <c r="HPK492" s="106"/>
      <c r="HPL492" s="106"/>
      <c r="HPM492" s="106"/>
      <c r="HPN492" s="106"/>
      <c r="HPO492" s="106"/>
      <c r="HPP492" s="106"/>
      <c r="HPQ492" s="106"/>
      <c r="HPR492" s="106"/>
      <c r="HPS492" s="106"/>
      <c r="HPT492" s="106"/>
      <c r="HPU492" s="106"/>
      <c r="HPV492" s="106"/>
      <c r="HPW492" s="106"/>
      <c r="HPX492" s="106"/>
      <c r="HPY492" s="106"/>
      <c r="HPZ492" s="106"/>
      <c r="HQA492" s="106"/>
      <c r="HQB492" s="106"/>
      <c r="HQC492" s="106"/>
      <c r="HQD492" s="106"/>
      <c r="HQE492" s="106"/>
      <c r="HQF492" s="106"/>
      <c r="HQG492" s="106"/>
      <c r="HQH492" s="106"/>
      <c r="HQI492" s="106"/>
      <c r="HQJ492" s="106"/>
      <c r="HQK492" s="106"/>
      <c r="HQL492" s="106"/>
      <c r="HQM492" s="106"/>
      <c r="HQN492" s="106"/>
      <c r="HQO492" s="106"/>
      <c r="HQP492" s="106"/>
      <c r="HQQ492" s="106"/>
      <c r="HQR492" s="106"/>
      <c r="HQS492" s="106"/>
      <c r="HQT492" s="106"/>
      <c r="HQU492" s="106"/>
      <c r="HQV492" s="106"/>
      <c r="HQW492" s="106"/>
      <c r="HQX492" s="106"/>
      <c r="HQY492" s="106"/>
      <c r="HQZ492" s="106"/>
      <c r="HRA492" s="106"/>
      <c r="HRB492" s="106"/>
      <c r="HRC492" s="106"/>
      <c r="HRD492" s="106"/>
      <c r="HRE492" s="106"/>
      <c r="HRF492" s="106"/>
      <c r="HRG492" s="106"/>
      <c r="HRH492" s="106"/>
      <c r="HRI492" s="106"/>
      <c r="HRJ492" s="106"/>
      <c r="HRK492" s="106"/>
      <c r="HRL492" s="106"/>
      <c r="HRM492" s="106"/>
      <c r="HRN492" s="106"/>
      <c r="HRO492" s="106"/>
      <c r="HRP492" s="106"/>
      <c r="HRQ492" s="106"/>
      <c r="HRR492" s="106"/>
      <c r="HRS492" s="106"/>
      <c r="HRT492" s="106"/>
      <c r="HRU492" s="106"/>
      <c r="HRV492" s="106"/>
      <c r="HRW492" s="106"/>
      <c r="HRX492" s="106"/>
      <c r="HRY492" s="106"/>
      <c r="HRZ492" s="106"/>
      <c r="HSA492" s="106"/>
      <c r="HSB492" s="106"/>
      <c r="HSC492" s="106"/>
      <c r="HSD492" s="106"/>
      <c r="HSE492" s="106"/>
      <c r="HSF492" s="106"/>
      <c r="HSG492" s="106"/>
      <c r="HSH492" s="106"/>
      <c r="HSI492" s="106"/>
      <c r="HSJ492" s="106"/>
      <c r="HSK492" s="106"/>
      <c r="HSL492" s="106"/>
      <c r="HSM492" s="106"/>
      <c r="HSN492" s="106"/>
      <c r="HSO492" s="106"/>
      <c r="HSP492" s="106"/>
      <c r="HSQ492" s="106"/>
      <c r="HSR492" s="106"/>
      <c r="HSS492" s="106"/>
      <c r="HST492" s="106"/>
      <c r="HSU492" s="106"/>
      <c r="HSV492" s="106"/>
      <c r="HSW492" s="106"/>
      <c r="HSX492" s="106"/>
      <c r="HSY492" s="106"/>
      <c r="HSZ492" s="106"/>
      <c r="HTA492" s="106"/>
      <c r="HTB492" s="106"/>
      <c r="HTC492" s="106"/>
      <c r="HTD492" s="106"/>
      <c r="HTE492" s="106"/>
      <c r="HTF492" s="106"/>
      <c r="HTG492" s="106"/>
      <c r="HTH492" s="106"/>
      <c r="HTI492" s="106"/>
      <c r="HTJ492" s="106"/>
      <c r="HTK492" s="106"/>
      <c r="HTL492" s="106"/>
      <c r="HTM492" s="106"/>
      <c r="HTN492" s="106"/>
      <c r="HTO492" s="106"/>
      <c r="HTP492" s="106"/>
      <c r="HTQ492" s="106"/>
      <c r="HTR492" s="106"/>
      <c r="HTS492" s="106"/>
      <c r="HTT492" s="106"/>
      <c r="HTU492" s="106"/>
      <c r="HTV492" s="106"/>
      <c r="HTW492" s="106"/>
      <c r="HTX492" s="106"/>
      <c r="HTY492" s="106"/>
      <c r="HTZ492" s="106"/>
      <c r="HUA492" s="106"/>
      <c r="HUB492" s="106"/>
      <c r="HUC492" s="106"/>
      <c r="HUD492" s="106"/>
      <c r="HUE492" s="106"/>
      <c r="HUF492" s="106"/>
      <c r="HUG492" s="106"/>
      <c r="HUH492" s="106"/>
      <c r="HUI492" s="106"/>
      <c r="HUJ492" s="106"/>
      <c r="HUK492" s="106"/>
      <c r="HUL492" s="106"/>
      <c r="HUM492" s="106"/>
      <c r="HUN492" s="106"/>
      <c r="HUO492" s="106"/>
      <c r="HUP492" s="106"/>
      <c r="HUQ492" s="106"/>
      <c r="HUR492" s="106"/>
      <c r="HUS492" s="106"/>
      <c r="HUT492" s="106"/>
      <c r="HUU492" s="106"/>
      <c r="HUV492" s="106"/>
      <c r="HUW492" s="106"/>
      <c r="HUX492" s="106"/>
      <c r="HUY492" s="106"/>
      <c r="HUZ492" s="106"/>
      <c r="HVA492" s="106"/>
      <c r="HVB492" s="106"/>
      <c r="HVC492" s="106"/>
      <c r="HVD492" s="106"/>
      <c r="HVE492" s="106"/>
      <c r="HVF492" s="106"/>
      <c r="HVG492" s="106"/>
      <c r="HVH492" s="106"/>
      <c r="HVI492" s="106"/>
      <c r="HVJ492" s="106"/>
      <c r="HVK492" s="106"/>
      <c r="HVL492" s="106"/>
      <c r="HVM492" s="106"/>
      <c r="HVN492" s="106"/>
      <c r="HVO492" s="106"/>
      <c r="HVP492" s="106"/>
      <c r="HVQ492" s="106"/>
      <c r="HVR492" s="106"/>
      <c r="HVS492" s="106"/>
      <c r="HVT492" s="106"/>
      <c r="HVU492" s="106"/>
      <c r="HVV492" s="106"/>
      <c r="HVW492" s="106"/>
      <c r="HVX492" s="106"/>
      <c r="HVY492" s="106"/>
      <c r="HVZ492" s="106"/>
      <c r="HWA492" s="106"/>
      <c r="HWB492" s="106"/>
      <c r="HWC492" s="106"/>
      <c r="HWD492" s="106"/>
      <c r="HWE492" s="106"/>
      <c r="HWF492" s="106"/>
      <c r="HWG492" s="106"/>
      <c r="HWH492" s="106"/>
      <c r="HWI492" s="106"/>
      <c r="HWJ492" s="106"/>
      <c r="HWK492" s="106"/>
      <c r="HWL492" s="106"/>
      <c r="HWM492" s="106"/>
      <c r="HWN492" s="106"/>
      <c r="HWO492" s="106"/>
      <c r="HWP492" s="106"/>
      <c r="HWQ492" s="106"/>
      <c r="HWR492" s="106"/>
      <c r="HWS492" s="106"/>
      <c r="HWT492" s="106"/>
      <c r="HWU492" s="106"/>
      <c r="HWV492" s="106"/>
      <c r="HWW492" s="106"/>
      <c r="HWX492" s="106"/>
      <c r="HWY492" s="106"/>
      <c r="HWZ492" s="106"/>
      <c r="HXA492" s="106"/>
      <c r="HXB492" s="106"/>
      <c r="HXC492" s="106"/>
      <c r="HXD492" s="106"/>
      <c r="HXE492" s="106"/>
      <c r="HXF492" s="106"/>
      <c r="HXG492" s="106"/>
      <c r="HXH492" s="106"/>
      <c r="HXI492" s="106"/>
      <c r="HXJ492" s="106"/>
      <c r="HXK492" s="106"/>
      <c r="HXL492" s="106"/>
      <c r="HXM492" s="106"/>
      <c r="HXN492" s="106"/>
      <c r="HXO492" s="106"/>
      <c r="HXP492" s="106"/>
      <c r="HXQ492" s="106"/>
      <c r="HXR492" s="106"/>
      <c r="HXS492" s="106"/>
      <c r="HXT492" s="106"/>
      <c r="HXU492" s="106"/>
      <c r="HXV492" s="106"/>
      <c r="HXW492" s="106"/>
      <c r="HXX492" s="106"/>
      <c r="HXY492" s="106"/>
      <c r="HXZ492" s="106"/>
      <c r="HYA492" s="106"/>
      <c r="HYB492" s="106"/>
      <c r="HYC492" s="106"/>
      <c r="HYD492" s="106"/>
      <c r="HYE492" s="106"/>
      <c r="HYF492" s="106"/>
      <c r="HYG492" s="106"/>
      <c r="HYH492" s="106"/>
      <c r="HYI492" s="106"/>
      <c r="HYJ492" s="106"/>
      <c r="HYK492" s="106"/>
      <c r="HYL492" s="106"/>
      <c r="HYM492" s="106"/>
      <c r="HYN492" s="106"/>
      <c r="HYO492" s="106"/>
      <c r="HYP492" s="106"/>
      <c r="HYQ492" s="106"/>
      <c r="HYR492" s="106"/>
      <c r="HYS492" s="106"/>
      <c r="HYT492" s="106"/>
      <c r="HYU492" s="106"/>
      <c r="HYV492" s="106"/>
      <c r="HYW492" s="106"/>
      <c r="HYX492" s="106"/>
      <c r="HYY492" s="106"/>
      <c r="HYZ492" s="106"/>
      <c r="HZA492" s="106"/>
      <c r="HZB492" s="106"/>
      <c r="HZC492" s="106"/>
      <c r="HZD492" s="106"/>
      <c r="HZE492" s="106"/>
      <c r="HZF492" s="106"/>
      <c r="HZG492" s="106"/>
      <c r="HZH492" s="106"/>
      <c r="HZI492" s="106"/>
      <c r="HZJ492" s="106"/>
      <c r="HZK492" s="106"/>
      <c r="HZL492" s="106"/>
      <c r="HZM492" s="106"/>
      <c r="HZN492" s="106"/>
      <c r="HZO492" s="106"/>
      <c r="HZP492" s="106"/>
      <c r="HZQ492" s="106"/>
      <c r="HZR492" s="106"/>
      <c r="HZS492" s="106"/>
      <c r="HZT492" s="106"/>
      <c r="HZU492" s="106"/>
      <c r="HZV492" s="106"/>
      <c r="HZW492" s="106"/>
      <c r="HZX492" s="106"/>
      <c r="HZY492" s="106"/>
      <c r="HZZ492" s="106"/>
      <c r="IAA492" s="106"/>
      <c r="IAB492" s="106"/>
      <c r="IAC492" s="106"/>
      <c r="IAD492" s="106"/>
      <c r="IAE492" s="106"/>
      <c r="IAF492" s="106"/>
      <c r="IAG492" s="106"/>
      <c r="IAH492" s="106"/>
      <c r="IAI492" s="106"/>
      <c r="IAJ492" s="106"/>
      <c r="IAK492" s="106"/>
      <c r="IAL492" s="106"/>
      <c r="IAM492" s="106"/>
      <c r="IAN492" s="106"/>
      <c r="IAO492" s="106"/>
      <c r="IAP492" s="106"/>
      <c r="IAQ492" s="106"/>
      <c r="IAR492" s="106"/>
      <c r="IAS492" s="106"/>
      <c r="IAT492" s="106"/>
      <c r="IAU492" s="106"/>
      <c r="IAV492" s="106"/>
      <c r="IAW492" s="106"/>
      <c r="IAX492" s="106"/>
      <c r="IAY492" s="106"/>
      <c r="IAZ492" s="106"/>
      <c r="IBA492" s="106"/>
      <c r="IBB492" s="106"/>
      <c r="IBC492" s="106"/>
      <c r="IBD492" s="106"/>
      <c r="IBE492" s="106"/>
      <c r="IBF492" s="106"/>
      <c r="IBG492" s="106"/>
      <c r="IBH492" s="106"/>
      <c r="IBI492" s="106"/>
      <c r="IBJ492" s="106"/>
      <c r="IBK492" s="106"/>
      <c r="IBL492" s="106"/>
      <c r="IBM492" s="106"/>
      <c r="IBN492" s="106"/>
      <c r="IBO492" s="106"/>
      <c r="IBP492" s="106"/>
      <c r="IBQ492" s="106"/>
      <c r="IBR492" s="106"/>
      <c r="IBS492" s="106"/>
      <c r="IBT492" s="106"/>
      <c r="IBU492" s="106"/>
      <c r="IBV492" s="106"/>
      <c r="IBW492" s="106"/>
      <c r="IBX492" s="106"/>
      <c r="IBY492" s="106"/>
      <c r="IBZ492" s="106"/>
      <c r="ICA492" s="106"/>
      <c r="ICB492" s="106"/>
      <c r="ICC492" s="106"/>
      <c r="ICD492" s="106"/>
      <c r="ICE492" s="106"/>
      <c r="ICF492" s="106"/>
      <c r="ICG492" s="106"/>
      <c r="ICH492" s="106"/>
      <c r="ICI492" s="106"/>
      <c r="ICJ492" s="106"/>
      <c r="ICK492" s="106"/>
      <c r="ICL492" s="106"/>
      <c r="ICM492" s="106"/>
      <c r="ICN492" s="106"/>
      <c r="ICO492" s="106"/>
      <c r="ICP492" s="106"/>
      <c r="ICQ492" s="106"/>
      <c r="ICR492" s="106"/>
      <c r="ICS492" s="106"/>
      <c r="ICT492" s="106"/>
      <c r="ICU492" s="106"/>
      <c r="ICV492" s="106"/>
      <c r="ICW492" s="106"/>
      <c r="ICX492" s="106"/>
      <c r="ICY492" s="106"/>
      <c r="ICZ492" s="106"/>
      <c r="IDA492" s="106"/>
      <c r="IDB492" s="106"/>
      <c r="IDC492" s="106"/>
      <c r="IDD492" s="106"/>
      <c r="IDE492" s="106"/>
      <c r="IDF492" s="106"/>
      <c r="IDG492" s="106"/>
      <c r="IDH492" s="106"/>
      <c r="IDI492" s="106"/>
      <c r="IDJ492" s="106"/>
      <c r="IDK492" s="106"/>
      <c r="IDL492" s="106"/>
      <c r="IDM492" s="106"/>
      <c r="IDN492" s="106"/>
      <c r="IDO492" s="106"/>
      <c r="IDP492" s="106"/>
      <c r="IDQ492" s="106"/>
      <c r="IDR492" s="106"/>
      <c r="IDS492" s="106"/>
      <c r="IDT492" s="106"/>
      <c r="IDU492" s="106"/>
      <c r="IDV492" s="106"/>
      <c r="IDW492" s="106"/>
      <c r="IDX492" s="106"/>
      <c r="IDY492" s="106"/>
      <c r="IDZ492" s="106"/>
      <c r="IEA492" s="106"/>
      <c r="IEB492" s="106"/>
      <c r="IEC492" s="106"/>
      <c r="IED492" s="106"/>
      <c r="IEE492" s="106"/>
      <c r="IEF492" s="106"/>
      <c r="IEG492" s="106"/>
      <c r="IEH492" s="106"/>
      <c r="IEI492" s="106"/>
      <c r="IEJ492" s="106"/>
      <c r="IEK492" s="106"/>
      <c r="IEL492" s="106"/>
      <c r="IEM492" s="106"/>
      <c r="IEN492" s="106"/>
      <c r="IEO492" s="106"/>
      <c r="IEP492" s="106"/>
      <c r="IEQ492" s="106"/>
      <c r="IER492" s="106"/>
      <c r="IES492" s="106"/>
      <c r="IET492" s="106"/>
      <c r="IEU492" s="106"/>
      <c r="IEV492" s="106"/>
      <c r="IEW492" s="106"/>
      <c r="IEX492" s="106"/>
      <c r="IEY492" s="106"/>
      <c r="IEZ492" s="106"/>
      <c r="IFA492" s="106"/>
      <c r="IFB492" s="106"/>
      <c r="IFC492" s="106"/>
      <c r="IFD492" s="106"/>
      <c r="IFE492" s="106"/>
      <c r="IFF492" s="106"/>
      <c r="IFG492" s="106"/>
      <c r="IFH492" s="106"/>
      <c r="IFI492" s="106"/>
      <c r="IFJ492" s="106"/>
      <c r="IFK492" s="106"/>
      <c r="IFL492" s="106"/>
      <c r="IFM492" s="106"/>
      <c r="IFN492" s="106"/>
      <c r="IFO492" s="106"/>
      <c r="IFP492" s="106"/>
      <c r="IFQ492" s="106"/>
      <c r="IFR492" s="106"/>
      <c r="IFS492" s="106"/>
      <c r="IFT492" s="106"/>
      <c r="IFU492" s="106"/>
      <c r="IFV492" s="106"/>
      <c r="IFW492" s="106"/>
      <c r="IFX492" s="106"/>
      <c r="IFY492" s="106"/>
      <c r="IFZ492" s="106"/>
      <c r="IGA492" s="106"/>
      <c r="IGB492" s="106"/>
      <c r="IGC492" s="106"/>
      <c r="IGD492" s="106"/>
      <c r="IGE492" s="106"/>
      <c r="IGF492" s="106"/>
      <c r="IGG492" s="106"/>
      <c r="IGH492" s="106"/>
      <c r="IGI492" s="106"/>
      <c r="IGJ492" s="106"/>
      <c r="IGK492" s="106"/>
      <c r="IGL492" s="106"/>
      <c r="IGM492" s="106"/>
      <c r="IGN492" s="106"/>
      <c r="IGO492" s="106"/>
      <c r="IGP492" s="106"/>
      <c r="IGQ492" s="106"/>
      <c r="IGR492" s="106"/>
      <c r="IGS492" s="106"/>
      <c r="IGT492" s="106"/>
      <c r="IGU492" s="106"/>
      <c r="IGV492" s="106"/>
      <c r="IGW492" s="106"/>
      <c r="IGX492" s="106"/>
      <c r="IGY492" s="106"/>
      <c r="IGZ492" s="106"/>
      <c r="IHA492" s="106"/>
      <c r="IHB492" s="106"/>
      <c r="IHC492" s="106"/>
      <c r="IHD492" s="106"/>
      <c r="IHE492" s="106"/>
      <c r="IHF492" s="106"/>
      <c r="IHG492" s="106"/>
      <c r="IHH492" s="106"/>
      <c r="IHI492" s="106"/>
      <c r="IHJ492" s="106"/>
      <c r="IHK492" s="106"/>
      <c r="IHL492" s="106"/>
      <c r="IHM492" s="106"/>
      <c r="IHN492" s="106"/>
      <c r="IHO492" s="106"/>
      <c r="IHP492" s="106"/>
      <c r="IHQ492" s="106"/>
      <c r="IHR492" s="106"/>
      <c r="IHS492" s="106"/>
      <c r="IHT492" s="106"/>
      <c r="IHU492" s="106"/>
      <c r="IHV492" s="106"/>
      <c r="IHW492" s="106"/>
      <c r="IHX492" s="106"/>
      <c r="IHY492" s="106"/>
      <c r="IHZ492" s="106"/>
      <c r="IIA492" s="106"/>
      <c r="IIB492" s="106"/>
      <c r="IIC492" s="106"/>
      <c r="IID492" s="106"/>
      <c r="IIE492" s="106"/>
      <c r="IIF492" s="106"/>
      <c r="IIG492" s="106"/>
      <c r="IIH492" s="106"/>
      <c r="III492" s="106"/>
      <c r="IIJ492" s="106"/>
      <c r="IIK492" s="106"/>
      <c r="IIL492" s="106"/>
      <c r="IIM492" s="106"/>
      <c r="IIN492" s="106"/>
      <c r="IIO492" s="106"/>
      <c r="IIP492" s="106"/>
      <c r="IIQ492" s="106"/>
      <c r="IIR492" s="106"/>
      <c r="IIS492" s="106"/>
      <c r="IIT492" s="106"/>
      <c r="IIU492" s="106"/>
      <c r="IIV492" s="106"/>
      <c r="IIW492" s="106"/>
      <c r="IIX492" s="106"/>
      <c r="IIY492" s="106"/>
      <c r="IIZ492" s="106"/>
      <c r="IJA492" s="106"/>
      <c r="IJB492" s="106"/>
      <c r="IJC492" s="106"/>
      <c r="IJD492" s="106"/>
      <c r="IJE492" s="106"/>
      <c r="IJF492" s="106"/>
      <c r="IJG492" s="106"/>
      <c r="IJH492" s="106"/>
      <c r="IJI492" s="106"/>
      <c r="IJJ492" s="106"/>
      <c r="IJK492" s="106"/>
      <c r="IJL492" s="106"/>
      <c r="IJM492" s="106"/>
      <c r="IJN492" s="106"/>
      <c r="IJO492" s="106"/>
      <c r="IJP492" s="106"/>
      <c r="IJQ492" s="106"/>
      <c r="IJR492" s="106"/>
      <c r="IJS492" s="106"/>
      <c r="IJT492" s="106"/>
      <c r="IJU492" s="106"/>
      <c r="IJV492" s="106"/>
      <c r="IJW492" s="106"/>
      <c r="IJX492" s="106"/>
      <c r="IJY492" s="106"/>
      <c r="IJZ492" s="106"/>
      <c r="IKA492" s="106"/>
      <c r="IKB492" s="106"/>
      <c r="IKC492" s="106"/>
      <c r="IKD492" s="106"/>
      <c r="IKE492" s="106"/>
      <c r="IKF492" s="106"/>
      <c r="IKG492" s="106"/>
      <c r="IKH492" s="106"/>
      <c r="IKI492" s="106"/>
      <c r="IKJ492" s="106"/>
      <c r="IKK492" s="106"/>
      <c r="IKL492" s="106"/>
      <c r="IKM492" s="106"/>
      <c r="IKN492" s="106"/>
      <c r="IKO492" s="106"/>
      <c r="IKP492" s="106"/>
      <c r="IKQ492" s="106"/>
      <c r="IKR492" s="106"/>
      <c r="IKS492" s="106"/>
      <c r="IKT492" s="106"/>
      <c r="IKU492" s="106"/>
      <c r="IKV492" s="106"/>
      <c r="IKW492" s="106"/>
      <c r="IKX492" s="106"/>
      <c r="IKY492" s="106"/>
      <c r="IKZ492" s="106"/>
      <c r="ILA492" s="106"/>
      <c r="ILB492" s="106"/>
      <c r="ILC492" s="106"/>
      <c r="ILD492" s="106"/>
      <c r="ILE492" s="106"/>
      <c r="ILF492" s="106"/>
      <c r="ILG492" s="106"/>
      <c r="ILH492" s="106"/>
      <c r="ILI492" s="106"/>
      <c r="ILJ492" s="106"/>
      <c r="ILK492" s="106"/>
      <c r="ILL492" s="106"/>
      <c r="ILM492" s="106"/>
      <c r="ILN492" s="106"/>
      <c r="ILO492" s="106"/>
      <c r="ILP492" s="106"/>
      <c r="ILQ492" s="106"/>
      <c r="ILR492" s="106"/>
      <c r="ILS492" s="106"/>
      <c r="ILT492" s="106"/>
      <c r="ILU492" s="106"/>
      <c r="ILV492" s="106"/>
      <c r="ILW492" s="106"/>
      <c r="ILX492" s="106"/>
      <c r="ILY492" s="106"/>
      <c r="ILZ492" s="106"/>
      <c r="IMA492" s="106"/>
      <c r="IMB492" s="106"/>
      <c r="IMC492" s="106"/>
      <c r="IMD492" s="106"/>
      <c r="IME492" s="106"/>
      <c r="IMF492" s="106"/>
      <c r="IMG492" s="106"/>
      <c r="IMH492" s="106"/>
      <c r="IMI492" s="106"/>
      <c r="IMJ492" s="106"/>
      <c r="IMK492" s="106"/>
      <c r="IML492" s="106"/>
      <c r="IMM492" s="106"/>
      <c r="IMN492" s="106"/>
      <c r="IMO492" s="106"/>
      <c r="IMP492" s="106"/>
      <c r="IMQ492" s="106"/>
      <c r="IMR492" s="106"/>
      <c r="IMS492" s="106"/>
      <c r="IMT492" s="106"/>
      <c r="IMU492" s="106"/>
      <c r="IMV492" s="106"/>
      <c r="IMW492" s="106"/>
      <c r="IMX492" s="106"/>
      <c r="IMY492" s="106"/>
      <c r="IMZ492" s="106"/>
      <c r="INA492" s="106"/>
      <c r="INB492" s="106"/>
      <c r="INC492" s="106"/>
      <c r="IND492" s="106"/>
      <c r="INE492" s="106"/>
      <c r="INF492" s="106"/>
      <c r="ING492" s="106"/>
      <c r="INH492" s="106"/>
      <c r="INI492" s="106"/>
      <c r="INJ492" s="106"/>
      <c r="INK492" s="106"/>
      <c r="INL492" s="106"/>
      <c r="INM492" s="106"/>
      <c r="INN492" s="106"/>
      <c r="INO492" s="106"/>
      <c r="INP492" s="106"/>
      <c r="INQ492" s="106"/>
      <c r="INR492" s="106"/>
      <c r="INS492" s="106"/>
      <c r="INT492" s="106"/>
      <c r="INU492" s="106"/>
      <c r="INV492" s="106"/>
      <c r="INW492" s="106"/>
      <c r="INX492" s="106"/>
      <c r="INY492" s="106"/>
      <c r="INZ492" s="106"/>
      <c r="IOA492" s="106"/>
      <c r="IOB492" s="106"/>
      <c r="IOC492" s="106"/>
      <c r="IOD492" s="106"/>
      <c r="IOE492" s="106"/>
      <c r="IOF492" s="106"/>
      <c r="IOG492" s="106"/>
      <c r="IOH492" s="106"/>
      <c r="IOI492" s="106"/>
      <c r="IOJ492" s="106"/>
      <c r="IOK492" s="106"/>
      <c r="IOL492" s="106"/>
      <c r="IOM492" s="106"/>
      <c r="ION492" s="106"/>
      <c r="IOO492" s="106"/>
      <c r="IOP492" s="106"/>
      <c r="IOQ492" s="106"/>
      <c r="IOR492" s="106"/>
      <c r="IOS492" s="106"/>
      <c r="IOT492" s="106"/>
      <c r="IOU492" s="106"/>
      <c r="IOV492" s="106"/>
      <c r="IOW492" s="106"/>
      <c r="IOX492" s="106"/>
      <c r="IOY492" s="106"/>
      <c r="IOZ492" s="106"/>
      <c r="IPA492" s="106"/>
      <c r="IPB492" s="106"/>
      <c r="IPC492" s="106"/>
      <c r="IPD492" s="106"/>
      <c r="IPE492" s="106"/>
      <c r="IPF492" s="106"/>
      <c r="IPG492" s="106"/>
      <c r="IPH492" s="106"/>
      <c r="IPI492" s="106"/>
      <c r="IPJ492" s="106"/>
      <c r="IPK492" s="106"/>
      <c r="IPL492" s="106"/>
      <c r="IPM492" s="106"/>
      <c r="IPN492" s="106"/>
      <c r="IPO492" s="106"/>
      <c r="IPP492" s="106"/>
      <c r="IPQ492" s="106"/>
      <c r="IPR492" s="106"/>
      <c r="IPS492" s="106"/>
      <c r="IPT492" s="106"/>
      <c r="IPU492" s="106"/>
      <c r="IPV492" s="106"/>
      <c r="IPW492" s="106"/>
      <c r="IPX492" s="106"/>
      <c r="IPY492" s="106"/>
      <c r="IPZ492" s="106"/>
      <c r="IQA492" s="106"/>
      <c r="IQB492" s="106"/>
      <c r="IQC492" s="106"/>
      <c r="IQD492" s="106"/>
      <c r="IQE492" s="106"/>
      <c r="IQF492" s="106"/>
      <c r="IQG492" s="106"/>
      <c r="IQH492" s="106"/>
      <c r="IQI492" s="106"/>
      <c r="IQJ492" s="106"/>
      <c r="IQK492" s="106"/>
      <c r="IQL492" s="106"/>
      <c r="IQM492" s="106"/>
      <c r="IQN492" s="106"/>
      <c r="IQO492" s="106"/>
      <c r="IQP492" s="106"/>
      <c r="IQQ492" s="106"/>
      <c r="IQR492" s="106"/>
      <c r="IQS492" s="106"/>
      <c r="IQT492" s="106"/>
      <c r="IQU492" s="106"/>
      <c r="IQV492" s="106"/>
      <c r="IQW492" s="106"/>
      <c r="IQX492" s="106"/>
      <c r="IQY492" s="106"/>
      <c r="IQZ492" s="106"/>
      <c r="IRA492" s="106"/>
      <c r="IRB492" s="106"/>
      <c r="IRC492" s="106"/>
      <c r="IRD492" s="106"/>
      <c r="IRE492" s="106"/>
      <c r="IRF492" s="106"/>
      <c r="IRG492" s="106"/>
      <c r="IRH492" s="106"/>
      <c r="IRI492" s="106"/>
      <c r="IRJ492" s="106"/>
      <c r="IRK492" s="106"/>
      <c r="IRL492" s="106"/>
      <c r="IRM492" s="106"/>
      <c r="IRN492" s="106"/>
      <c r="IRO492" s="106"/>
      <c r="IRP492" s="106"/>
      <c r="IRQ492" s="106"/>
      <c r="IRR492" s="106"/>
      <c r="IRS492" s="106"/>
      <c r="IRT492" s="106"/>
      <c r="IRU492" s="106"/>
      <c r="IRV492" s="106"/>
      <c r="IRW492" s="106"/>
      <c r="IRX492" s="106"/>
      <c r="IRY492" s="106"/>
      <c r="IRZ492" s="106"/>
      <c r="ISA492" s="106"/>
      <c r="ISB492" s="106"/>
      <c r="ISC492" s="106"/>
      <c r="ISD492" s="106"/>
      <c r="ISE492" s="106"/>
      <c r="ISF492" s="106"/>
      <c r="ISG492" s="106"/>
      <c r="ISH492" s="106"/>
      <c r="ISI492" s="106"/>
      <c r="ISJ492" s="106"/>
      <c r="ISK492" s="106"/>
      <c r="ISL492" s="106"/>
      <c r="ISM492" s="106"/>
      <c r="ISN492" s="106"/>
      <c r="ISO492" s="106"/>
      <c r="ISP492" s="106"/>
      <c r="ISQ492" s="106"/>
      <c r="ISR492" s="106"/>
      <c r="ISS492" s="106"/>
      <c r="IST492" s="106"/>
      <c r="ISU492" s="106"/>
      <c r="ISV492" s="106"/>
      <c r="ISW492" s="106"/>
      <c r="ISX492" s="106"/>
      <c r="ISY492" s="106"/>
      <c r="ISZ492" s="106"/>
      <c r="ITA492" s="106"/>
      <c r="ITB492" s="106"/>
      <c r="ITC492" s="106"/>
      <c r="ITD492" s="106"/>
      <c r="ITE492" s="106"/>
      <c r="ITF492" s="106"/>
      <c r="ITG492" s="106"/>
      <c r="ITH492" s="106"/>
      <c r="ITI492" s="106"/>
      <c r="ITJ492" s="106"/>
      <c r="ITK492" s="106"/>
      <c r="ITL492" s="106"/>
      <c r="ITM492" s="106"/>
      <c r="ITN492" s="106"/>
      <c r="ITO492" s="106"/>
      <c r="ITP492" s="106"/>
      <c r="ITQ492" s="106"/>
      <c r="ITR492" s="106"/>
      <c r="ITS492" s="106"/>
      <c r="ITT492" s="106"/>
      <c r="ITU492" s="106"/>
      <c r="ITV492" s="106"/>
      <c r="ITW492" s="106"/>
      <c r="ITX492" s="106"/>
      <c r="ITY492" s="106"/>
      <c r="ITZ492" s="106"/>
      <c r="IUA492" s="106"/>
      <c r="IUB492" s="106"/>
      <c r="IUC492" s="106"/>
      <c r="IUD492" s="106"/>
      <c r="IUE492" s="106"/>
      <c r="IUF492" s="106"/>
      <c r="IUG492" s="106"/>
      <c r="IUH492" s="106"/>
      <c r="IUI492" s="106"/>
      <c r="IUJ492" s="106"/>
      <c r="IUK492" s="106"/>
      <c r="IUL492" s="106"/>
      <c r="IUM492" s="106"/>
      <c r="IUN492" s="106"/>
      <c r="IUO492" s="106"/>
      <c r="IUP492" s="106"/>
      <c r="IUQ492" s="106"/>
      <c r="IUR492" s="106"/>
      <c r="IUS492" s="106"/>
      <c r="IUT492" s="106"/>
      <c r="IUU492" s="106"/>
      <c r="IUV492" s="106"/>
      <c r="IUW492" s="106"/>
      <c r="IUX492" s="106"/>
      <c r="IUY492" s="106"/>
      <c r="IUZ492" s="106"/>
      <c r="IVA492" s="106"/>
      <c r="IVB492" s="106"/>
      <c r="IVC492" s="106"/>
      <c r="IVD492" s="106"/>
      <c r="IVE492" s="106"/>
      <c r="IVF492" s="106"/>
      <c r="IVG492" s="106"/>
      <c r="IVH492" s="106"/>
      <c r="IVI492" s="106"/>
      <c r="IVJ492" s="106"/>
      <c r="IVK492" s="106"/>
      <c r="IVL492" s="106"/>
      <c r="IVM492" s="106"/>
      <c r="IVN492" s="106"/>
      <c r="IVO492" s="106"/>
      <c r="IVP492" s="106"/>
      <c r="IVQ492" s="106"/>
      <c r="IVR492" s="106"/>
      <c r="IVS492" s="106"/>
      <c r="IVT492" s="106"/>
      <c r="IVU492" s="106"/>
      <c r="IVV492" s="106"/>
      <c r="IVW492" s="106"/>
      <c r="IVX492" s="106"/>
      <c r="IVY492" s="106"/>
      <c r="IVZ492" s="106"/>
      <c r="IWA492" s="106"/>
      <c r="IWB492" s="106"/>
      <c r="IWC492" s="106"/>
      <c r="IWD492" s="106"/>
      <c r="IWE492" s="106"/>
      <c r="IWF492" s="106"/>
      <c r="IWG492" s="106"/>
      <c r="IWH492" s="106"/>
      <c r="IWI492" s="106"/>
      <c r="IWJ492" s="106"/>
      <c r="IWK492" s="106"/>
      <c r="IWL492" s="106"/>
      <c r="IWM492" s="106"/>
      <c r="IWN492" s="106"/>
      <c r="IWO492" s="106"/>
      <c r="IWP492" s="106"/>
      <c r="IWQ492" s="106"/>
      <c r="IWR492" s="106"/>
      <c r="IWS492" s="106"/>
      <c r="IWT492" s="106"/>
      <c r="IWU492" s="106"/>
      <c r="IWV492" s="106"/>
      <c r="IWW492" s="106"/>
      <c r="IWX492" s="106"/>
      <c r="IWY492" s="106"/>
      <c r="IWZ492" s="106"/>
      <c r="IXA492" s="106"/>
      <c r="IXB492" s="106"/>
      <c r="IXC492" s="106"/>
      <c r="IXD492" s="106"/>
      <c r="IXE492" s="106"/>
      <c r="IXF492" s="106"/>
      <c r="IXG492" s="106"/>
      <c r="IXH492" s="106"/>
      <c r="IXI492" s="106"/>
      <c r="IXJ492" s="106"/>
      <c r="IXK492" s="106"/>
      <c r="IXL492" s="106"/>
      <c r="IXM492" s="106"/>
      <c r="IXN492" s="106"/>
      <c r="IXO492" s="106"/>
      <c r="IXP492" s="106"/>
      <c r="IXQ492" s="106"/>
      <c r="IXR492" s="106"/>
      <c r="IXS492" s="106"/>
      <c r="IXT492" s="106"/>
      <c r="IXU492" s="106"/>
      <c r="IXV492" s="106"/>
      <c r="IXW492" s="106"/>
      <c r="IXX492" s="106"/>
      <c r="IXY492" s="106"/>
      <c r="IXZ492" s="106"/>
      <c r="IYA492" s="106"/>
      <c r="IYB492" s="106"/>
      <c r="IYC492" s="106"/>
      <c r="IYD492" s="106"/>
      <c r="IYE492" s="106"/>
      <c r="IYF492" s="106"/>
      <c r="IYG492" s="106"/>
      <c r="IYH492" s="106"/>
      <c r="IYI492" s="106"/>
      <c r="IYJ492" s="106"/>
      <c r="IYK492" s="106"/>
      <c r="IYL492" s="106"/>
      <c r="IYM492" s="106"/>
      <c r="IYN492" s="106"/>
      <c r="IYO492" s="106"/>
      <c r="IYP492" s="106"/>
      <c r="IYQ492" s="106"/>
      <c r="IYR492" s="106"/>
      <c r="IYS492" s="106"/>
      <c r="IYT492" s="106"/>
      <c r="IYU492" s="106"/>
      <c r="IYV492" s="106"/>
      <c r="IYW492" s="106"/>
      <c r="IYX492" s="106"/>
      <c r="IYY492" s="106"/>
      <c r="IYZ492" s="106"/>
      <c r="IZA492" s="106"/>
      <c r="IZB492" s="106"/>
      <c r="IZC492" s="106"/>
      <c r="IZD492" s="106"/>
      <c r="IZE492" s="106"/>
      <c r="IZF492" s="106"/>
      <c r="IZG492" s="106"/>
      <c r="IZH492" s="106"/>
      <c r="IZI492" s="106"/>
      <c r="IZJ492" s="106"/>
      <c r="IZK492" s="106"/>
      <c r="IZL492" s="106"/>
      <c r="IZM492" s="106"/>
      <c r="IZN492" s="106"/>
      <c r="IZO492" s="106"/>
      <c r="IZP492" s="106"/>
      <c r="IZQ492" s="106"/>
      <c r="IZR492" s="106"/>
      <c r="IZS492" s="106"/>
      <c r="IZT492" s="106"/>
      <c r="IZU492" s="106"/>
      <c r="IZV492" s="106"/>
      <c r="IZW492" s="106"/>
      <c r="IZX492" s="106"/>
      <c r="IZY492" s="106"/>
      <c r="IZZ492" s="106"/>
      <c r="JAA492" s="106"/>
      <c r="JAB492" s="106"/>
      <c r="JAC492" s="106"/>
      <c r="JAD492" s="106"/>
      <c r="JAE492" s="106"/>
      <c r="JAF492" s="106"/>
      <c r="JAG492" s="106"/>
      <c r="JAH492" s="106"/>
      <c r="JAI492" s="106"/>
      <c r="JAJ492" s="106"/>
      <c r="JAK492" s="106"/>
      <c r="JAL492" s="106"/>
      <c r="JAM492" s="106"/>
      <c r="JAN492" s="106"/>
      <c r="JAO492" s="106"/>
      <c r="JAP492" s="106"/>
      <c r="JAQ492" s="106"/>
      <c r="JAR492" s="106"/>
      <c r="JAS492" s="106"/>
      <c r="JAT492" s="106"/>
      <c r="JAU492" s="106"/>
      <c r="JAV492" s="106"/>
      <c r="JAW492" s="106"/>
      <c r="JAX492" s="106"/>
      <c r="JAY492" s="106"/>
      <c r="JAZ492" s="106"/>
      <c r="JBA492" s="106"/>
      <c r="JBB492" s="106"/>
      <c r="JBC492" s="106"/>
      <c r="JBD492" s="106"/>
      <c r="JBE492" s="106"/>
      <c r="JBF492" s="106"/>
      <c r="JBG492" s="106"/>
      <c r="JBH492" s="106"/>
      <c r="JBI492" s="106"/>
      <c r="JBJ492" s="106"/>
      <c r="JBK492" s="106"/>
      <c r="JBL492" s="106"/>
      <c r="JBM492" s="106"/>
      <c r="JBN492" s="106"/>
      <c r="JBO492" s="106"/>
      <c r="JBP492" s="106"/>
      <c r="JBQ492" s="106"/>
      <c r="JBR492" s="106"/>
      <c r="JBS492" s="106"/>
      <c r="JBT492" s="106"/>
      <c r="JBU492" s="106"/>
      <c r="JBV492" s="106"/>
      <c r="JBW492" s="106"/>
      <c r="JBX492" s="106"/>
      <c r="JBY492" s="106"/>
      <c r="JBZ492" s="106"/>
      <c r="JCA492" s="106"/>
      <c r="JCB492" s="106"/>
      <c r="JCC492" s="106"/>
      <c r="JCD492" s="106"/>
      <c r="JCE492" s="106"/>
      <c r="JCF492" s="106"/>
      <c r="JCG492" s="106"/>
      <c r="JCH492" s="106"/>
      <c r="JCI492" s="106"/>
      <c r="JCJ492" s="106"/>
      <c r="JCK492" s="106"/>
      <c r="JCL492" s="106"/>
      <c r="JCM492" s="106"/>
      <c r="JCN492" s="106"/>
      <c r="JCO492" s="106"/>
      <c r="JCP492" s="106"/>
      <c r="JCQ492" s="106"/>
      <c r="JCR492" s="106"/>
      <c r="JCS492" s="106"/>
      <c r="JCT492" s="106"/>
      <c r="JCU492" s="106"/>
      <c r="JCV492" s="106"/>
      <c r="JCW492" s="106"/>
      <c r="JCX492" s="106"/>
      <c r="JCY492" s="106"/>
      <c r="JCZ492" s="106"/>
      <c r="JDA492" s="106"/>
      <c r="JDB492" s="106"/>
      <c r="JDC492" s="106"/>
      <c r="JDD492" s="106"/>
      <c r="JDE492" s="106"/>
      <c r="JDF492" s="106"/>
      <c r="JDG492" s="106"/>
      <c r="JDH492" s="106"/>
      <c r="JDI492" s="106"/>
      <c r="JDJ492" s="106"/>
      <c r="JDK492" s="106"/>
      <c r="JDL492" s="106"/>
      <c r="JDM492" s="106"/>
      <c r="JDN492" s="106"/>
      <c r="JDO492" s="106"/>
      <c r="JDP492" s="106"/>
      <c r="JDQ492" s="106"/>
      <c r="JDR492" s="106"/>
      <c r="JDS492" s="106"/>
      <c r="JDT492" s="106"/>
      <c r="JDU492" s="106"/>
      <c r="JDV492" s="106"/>
      <c r="JDW492" s="106"/>
      <c r="JDX492" s="106"/>
      <c r="JDY492" s="106"/>
      <c r="JDZ492" s="106"/>
      <c r="JEA492" s="106"/>
      <c r="JEB492" s="106"/>
      <c r="JEC492" s="106"/>
      <c r="JED492" s="106"/>
      <c r="JEE492" s="106"/>
      <c r="JEF492" s="106"/>
      <c r="JEG492" s="106"/>
      <c r="JEH492" s="106"/>
      <c r="JEI492" s="106"/>
      <c r="JEJ492" s="106"/>
      <c r="JEK492" s="106"/>
      <c r="JEL492" s="106"/>
      <c r="JEM492" s="106"/>
      <c r="JEN492" s="106"/>
      <c r="JEO492" s="106"/>
      <c r="JEP492" s="106"/>
      <c r="JEQ492" s="106"/>
      <c r="JER492" s="106"/>
      <c r="JES492" s="106"/>
      <c r="JET492" s="106"/>
      <c r="JEU492" s="106"/>
      <c r="JEV492" s="106"/>
      <c r="JEW492" s="106"/>
      <c r="JEX492" s="106"/>
      <c r="JEY492" s="106"/>
      <c r="JEZ492" s="106"/>
      <c r="JFA492" s="106"/>
      <c r="JFB492" s="106"/>
      <c r="JFC492" s="106"/>
      <c r="JFD492" s="106"/>
      <c r="JFE492" s="106"/>
      <c r="JFF492" s="106"/>
      <c r="JFG492" s="106"/>
      <c r="JFH492" s="106"/>
      <c r="JFI492" s="106"/>
      <c r="JFJ492" s="106"/>
      <c r="JFK492" s="106"/>
      <c r="JFL492" s="106"/>
      <c r="JFM492" s="106"/>
      <c r="JFN492" s="106"/>
      <c r="JFO492" s="106"/>
      <c r="JFP492" s="106"/>
      <c r="JFQ492" s="106"/>
      <c r="JFR492" s="106"/>
      <c r="JFS492" s="106"/>
      <c r="JFT492" s="106"/>
      <c r="JFU492" s="106"/>
      <c r="JFV492" s="106"/>
      <c r="JFW492" s="106"/>
      <c r="JFX492" s="106"/>
      <c r="JFY492" s="106"/>
      <c r="JFZ492" s="106"/>
      <c r="JGA492" s="106"/>
      <c r="JGB492" s="106"/>
      <c r="JGC492" s="106"/>
      <c r="JGD492" s="106"/>
      <c r="JGE492" s="106"/>
      <c r="JGF492" s="106"/>
      <c r="JGG492" s="106"/>
      <c r="JGH492" s="106"/>
      <c r="JGI492" s="106"/>
      <c r="JGJ492" s="106"/>
      <c r="JGK492" s="106"/>
      <c r="JGL492" s="106"/>
      <c r="JGM492" s="106"/>
      <c r="JGN492" s="106"/>
      <c r="JGO492" s="106"/>
      <c r="JGP492" s="106"/>
      <c r="JGQ492" s="106"/>
      <c r="JGR492" s="106"/>
      <c r="JGS492" s="106"/>
      <c r="JGT492" s="106"/>
      <c r="JGU492" s="106"/>
      <c r="JGV492" s="106"/>
      <c r="JGW492" s="106"/>
      <c r="JGX492" s="106"/>
      <c r="JGY492" s="106"/>
      <c r="JGZ492" s="106"/>
      <c r="JHA492" s="106"/>
      <c r="JHB492" s="106"/>
      <c r="JHC492" s="106"/>
      <c r="JHD492" s="106"/>
      <c r="JHE492" s="106"/>
      <c r="JHF492" s="106"/>
      <c r="JHG492" s="106"/>
      <c r="JHH492" s="106"/>
      <c r="JHI492" s="106"/>
      <c r="JHJ492" s="106"/>
      <c r="JHK492" s="106"/>
      <c r="JHL492" s="106"/>
      <c r="JHM492" s="106"/>
      <c r="JHN492" s="106"/>
      <c r="JHO492" s="106"/>
      <c r="JHP492" s="106"/>
      <c r="JHQ492" s="106"/>
      <c r="JHR492" s="106"/>
      <c r="JHS492" s="106"/>
      <c r="JHT492" s="106"/>
      <c r="JHU492" s="106"/>
      <c r="JHV492" s="106"/>
      <c r="JHW492" s="106"/>
      <c r="JHX492" s="106"/>
      <c r="JHY492" s="106"/>
      <c r="JHZ492" s="106"/>
      <c r="JIA492" s="106"/>
      <c r="JIB492" s="106"/>
      <c r="JIC492" s="106"/>
      <c r="JID492" s="106"/>
      <c r="JIE492" s="106"/>
      <c r="JIF492" s="106"/>
      <c r="JIG492" s="106"/>
      <c r="JIH492" s="106"/>
      <c r="JII492" s="106"/>
      <c r="JIJ492" s="106"/>
      <c r="JIK492" s="106"/>
      <c r="JIL492" s="106"/>
      <c r="JIM492" s="106"/>
      <c r="JIN492" s="106"/>
      <c r="JIO492" s="106"/>
      <c r="JIP492" s="106"/>
      <c r="JIQ492" s="106"/>
      <c r="JIR492" s="106"/>
      <c r="JIS492" s="106"/>
      <c r="JIT492" s="106"/>
      <c r="JIU492" s="106"/>
      <c r="JIV492" s="106"/>
      <c r="JIW492" s="106"/>
      <c r="JIX492" s="106"/>
      <c r="JIY492" s="106"/>
      <c r="JIZ492" s="106"/>
      <c r="JJA492" s="106"/>
      <c r="JJB492" s="106"/>
      <c r="JJC492" s="106"/>
      <c r="JJD492" s="106"/>
      <c r="JJE492" s="106"/>
      <c r="JJF492" s="106"/>
      <c r="JJG492" s="106"/>
      <c r="JJH492" s="106"/>
      <c r="JJI492" s="106"/>
      <c r="JJJ492" s="106"/>
      <c r="JJK492" s="106"/>
      <c r="JJL492" s="106"/>
      <c r="JJM492" s="106"/>
      <c r="JJN492" s="106"/>
      <c r="JJO492" s="106"/>
      <c r="JJP492" s="106"/>
      <c r="JJQ492" s="106"/>
      <c r="JJR492" s="106"/>
      <c r="JJS492" s="106"/>
      <c r="JJT492" s="106"/>
      <c r="JJU492" s="106"/>
      <c r="JJV492" s="106"/>
      <c r="JJW492" s="106"/>
      <c r="JJX492" s="106"/>
      <c r="JJY492" s="106"/>
      <c r="JJZ492" s="106"/>
      <c r="JKA492" s="106"/>
      <c r="JKB492" s="106"/>
      <c r="JKC492" s="106"/>
      <c r="JKD492" s="106"/>
      <c r="JKE492" s="106"/>
      <c r="JKF492" s="106"/>
      <c r="JKG492" s="106"/>
      <c r="JKH492" s="106"/>
      <c r="JKI492" s="106"/>
      <c r="JKJ492" s="106"/>
      <c r="JKK492" s="106"/>
      <c r="JKL492" s="106"/>
      <c r="JKM492" s="106"/>
      <c r="JKN492" s="106"/>
      <c r="JKO492" s="106"/>
      <c r="JKP492" s="106"/>
      <c r="JKQ492" s="106"/>
      <c r="JKR492" s="106"/>
      <c r="JKS492" s="106"/>
      <c r="JKT492" s="106"/>
      <c r="JKU492" s="106"/>
      <c r="JKV492" s="106"/>
      <c r="JKW492" s="106"/>
      <c r="JKX492" s="106"/>
      <c r="JKY492" s="106"/>
      <c r="JKZ492" s="106"/>
      <c r="JLA492" s="106"/>
      <c r="JLB492" s="106"/>
      <c r="JLC492" s="106"/>
      <c r="JLD492" s="106"/>
      <c r="JLE492" s="106"/>
      <c r="JLF492" s="106"/>
      <c r="JLG492" s="106"/>
      <c r="JLH492" s="106"/>
      <c r="JLI492" s="106"/>
      <c r="JLJ492" s="106"/>
      <c r="JLK492" s="106"/>
      <c r="JLL492" s="106"/>
      <c r="JLM492" s="106"/>
      <c r="JLN492" s="106"/>
      <c r="JLO492" s="106"/>
      <c r="JLP492" s="106"/>
      <c r="JLQ492" s="106"/>
      <c r="JLR492" s="106"/>
      <c r="JLS492" s="106"/>
      <c r="JLT492" s="106"/>
      <c r="JLU492" s="106"/>
      <c r="JLV492" s="106"/>
      <c r="JLW492" s="106"/>
      <c r="JLX492" s="106"/>
      <c r="JLY492" s="106"/>
      <c r="JLZ492" s="106"/>
      <c r="JMA492" s="106"/>
      <c r="JMB492" s="106"/>
      <c r="JMC492" s="106"/>
      <c r="JMD492" s="106"/>
      <c r="JME492" s="106"/>
      <c r="JMF492" s="106"/>
      <c r="JMG492" s="106"/>
      <c r="JMH492" s="106"/>
      <c r="JMI492" s="106"/>
      <c r="JMJ492" s="106"/>
      <c r="JMK492" s="106"/>
      <c r="JML492" s="106"/>
      <c r="JMM492" s="106"/>
      <c r="JMN492" s="106"/>
      <c r="JMO492" s="106"/>
      <c r="JMP492" s="106"/>
      <c r="JMQ492" s="106"/>
      <c r="JMR492" s="106"/>
      <c r="JMS492" s="106"/>
      <c r="JMT492" s="106"/>
      <c r="JMU492" s="106"/>
      <c r="JMV492" s="106"/>
      <c r="JMW492" s="106"/>
      <c r="JMX492" s="106"/>
      <c r="JMY492" s="106"/>
      <c r="JMZ492" s="106"/>
      <c r="JNA492" s="106"/>
      <c r="JNB492" s="106"/>
      <c r="JNC492" s="106"/>
      <c r="JND492" s="106"/>
      <c r="JNE492" s="106"/>
      <c r="JNF492" s="106"/>
      <c r="JNG492" s="106"/>
      <c r="JNH492" s="106"/>
      <c r="JNI492" s="106"/>
      <c r="JNJ492" s="106"/>
      <c r="JNK492" s="106"/>
      <c r="JNL492" s="106"/>
      <c r="JNM492" s="106"/>
      <c r="JNN492" s="106"/>
      <c r="JNO492" s="106"/>
      <c r="JNP492" s="106"/>
      <c r="JNQ492" s="106"/>
      <c r="JNR492" s="106"/>
      <c r="JNS492" s="106"/>
      <c r="JNT492" s="106"/>
      <c r="JNU492" s="106"/>
      <c r="JNV492" s="106"/>
      <c r="JNW492" s="106"/>
      <c r="JNX492" s="106"/>
      <c r="JNY492" s="106"/>
      <c r="JNZ492" s="106"/>
      <c r="JOA492" s="106"/>
      <c r="JOB492" s="106"/>
      <c r="JOC492" s="106"/>
      <c r="JOD492" s="106"/>
      <c r="JOE492" s="106"/>
      <c r="JOF492" s="106"/>
      <c r="JOG492" s="106"/>
      <c r="JOH492" s="106"/>
      <c r="JOI492" s="106"/>
      <c r="JOJ492" s="106"/>
      <c r="JOK492" s="106"/>
      <c r="JOL492" s="106"/>
      <c r="JOM492" s="106"/>
      <c r="JON492" s="106"/>
      <c r="JOO492" s="106"/>
      <c r="JOP492" s="106"/>
      <c r="JOQ492" s="106"/>
      <c r="JOR492" s="106"/>
      <c r="JOS492" s="106"/>
      <c r="JOT492" s="106"/>
      <c r="JOU492" s="106"/>
      <c r="JOV492" s="106"/>
      <c r="JOW492" s="106"/>
      <c r="JOX492" s="106"/>
      <c r="JOY492" s="106"/>
      <c r="JOZ492" s="106"/>
      <c r="JPA492" s="106"/>
      <c r="JPB492" s="106"/>
      <c r="JPC492" s="106"/>
      <c r="JPD492" s="106"/>
      <c r="JPE492" s="106"/>
      <c r="JPF492" s="106"/>
      <c r="JPG492" s="106"/>
      <c r="JPH492" s="106"/>
      <c r="JPI492" s="106"/>
      <c r="JPJ492" s="106"/>
      <c r="JPK492" s="106"/>
      <c r="JPL492" s="106"/>
      <c r="JPM492" s="106"/>
      <c r="JPN492" s="106"/>
      <c r="JPO492" s="106"/>
      <c r="JPP492" s="106"/>
      <c r="JPQ492" s="106"/>
      <c r="JPR492" s="106"/>
      <c r="JPS492" s="106"/>
      <c r="JPT492" s="106"/>
      <c r="JPU492" s="106"/>
      <c r="JPV492" s="106"/>
      <c r="JPW492" s="106"/>
      <c r="JPX492" s="106"/>
      <c r="JPY492" s="106"/>
      <c r="JPZ492" s="106"/>
      <c r="JQA492" s="106"/>
      <c r="JQB492" s="106"/>
      <c r="JQC492" s="106"/>
      <c r="JQD492" s="106"/>
      <c r="JQE492" s="106"/>
      <c r="JQF492" s="106"/>
      <c r="JQG492" s="106"/>
      <c r="JQH492" s="106"/>
      <c r="JQI492" s="106"/>
      <c r="JQJ492" s="106"/>
      <c r="JQK492" s="106"/>
      <c r="JQL492" s="106"/>
      <c r="JQM492" s="106"/>
      <c r="JQN492" s="106"/>
      <c r="JQO492" s="106"/>
      <c r="JQP492" s="106"/>
      <c r="JQQ492" s="106"/>
      <c r="JQR492" s="106"/>
      <c r="JQS492" s="106"/>
      <c r="JQT492" s="106"/>
      <c r="JQU492" s="106"/>
      <c r="JQV492" s="106"/>
      <c r="JQW492" s="106"/>
      <c r="JQX492" s="106"/>
      <c r="JQY492" s="106"/>
      <c r="JQZ492" s="106"/>
      <c r="JRA492" s="106"/>
      <c r="JRB492" s="106"/>
      <c r="JRC492" s="106"/>
      <c r="JRD492" s="106"/>
      <c r="JRE492" s="106"/>
      <c r="JRF492" s="106"/>
      <c r="JRG492" s="106"/>
      <c r="JRH492" s="106"/>
      <c r="JRI492" s="106"/>
      <c r="JRJ492" s="106"/>
      <c r="JRK492" s="106"/>
      <c r="JRL492" s="106"/>
      <c r="JRM492" s="106"/>
      <c r="JRN492" s="106"/>
      <c r="JRO492" s="106"/>
      <c r="JRP492" s="106"/>
      <c r="JRQ492" s="106"/>
      <c r="JRR492" s="106"/>
      <c r="JRS492" s="106"/>
      <c r="JRT492" s="106"/>
      <c r="JRU492" s="106"/>
      <c r="JRV492" s="106"/>
      <c r="JRW492" s="106"/>
      <c r="JRX492" s="106"/>
      <c r="JRY492" s="106"/>
      <c r="JRZ492" s="106"/>
      <c r="JSA492" s="106"/>
      <c r="JSB492" s="106"/>
      <c r="JSC492" s="106"/>
      <c r="JSD492" s="106"/>
      <c r="JSE492" s="106"/>
      <c r="JSF492" s="106"/>
      <c r="JSG492" s="106"/>
      <c r="JSH492" s="106"/>
      <c r="JSI492" s="106"/>
      <c r="JSJ492" s="106"/>
      <c r="JSK492" s="106"/>
      <c r="JSL492" s="106"/>
      <c r="JSM492" s="106"/>
      <c r="JSN492" s="106"/>
      <c r="JSO492" s="106"/>
      <c r="JSP492" s="106"/>
      <c r="JSQ492" s="106"/>
      <c r="JSR492" s="106"/>
      <c r="JSS492" s="106"/>
      <c r="JST492" s="106"/>
      <c r="JSU492" s="106"/>
      <c r="JSV492" s="106"/>
      <c r="JSW492" s="106"/>
      <c r="JSX492" s="106"/>
      <c r="JSY492" s="106"/>
      <c r="JSZ492" s="106"/>
      <c r="JTA492" s="106"/>
      <c r="JTB492" s="106"/>
      <c r="JTC492" s="106"/>
      <c r="JTD492" s="106"/>
      <c r="JTE492" s="106"/>
      <c r="JTF492" s="106"/>
      <c r="JTG492" s="106"/>
      <c r="JTH492" s="106"/>
      <c r="JTI492" s="106"/>
      <c r="JTJ492" s="106"/>
      <c r="JTK492" s="106"/>
      <c r="JTL492" s="106"/>
      <c r="JTM492" s="106"/>
      <c r="JTN492" s="106"/>
      <c r="JTO492" s="106"/>
      <c r="JTP492" s="106"/>
      <c r="JTQ492" s="106"/>
      <c r="JTR492" s="106"/>
      <c r="JTS492" s="106"/>
      <c r="JTT492" s="106"/>
      <c r="JTU492" s="106"/>
      <c r="JTV492" s="106"/>
      <c r="JTW492" s="106"/>
      <c r="JTX492" s="106"/>
      <c r="JTY492" s="106"/>
      <c r="JTZ492" s="106"/>
      <c r="JUA492" s="106"/>
      <c r="JUB492" s="106"/>
      <c r="JUC492" s="106"/>
      <c r="JUD492" s="106"/>
      <c r="JUE492" s="106"/>
      <c r="JUF492" s="106"/>
      <c r="JUG492" s="106"/>
      <c r="JUH492" s="106"/>
      <c r="JUI492" s="106"/>
      <c r="JUJ492" s="106"/>
      <c r="JUK492" s="106"/>
      <c r="JUL492" s="106"/>
      <c r="JUM492" s="106"/>
      <c r="JUN492" s="106"/>
      <c r="JUO492" s="106"/>
      <c r="JUP492" s="106"/>
      <c r="JUQ492" s="106"/>
      <c r="JUR492" s="106"/>
      <c r="JUS492" s="106"/>
      <c r="JUT492" s="106"/>
      <c r="JUU492" s="106"/>
      <c r="JUV492" s="106"/>
      <c r="JUW492" s="106"/>
      <c r="JUX492" s="106"/>
      <c r="JUY492" s="106"/>
      <c r="JUZ492" s="106"/>
      <c r="JVA492" s="106"/>
      <c r="JVB492" s="106"/>
      <c r="JVC492" s="106"/>
      <c r="JVD492" s="106"/>
      <c r="JVE492" s="106"/>
      <c r="JVF492" s="106"/>
      <c r="JVG492" s="106"/>
      <c r="JVH492" s="106"/>
      <c r="JVI492" s="106"/>
      <c r="JVJ492" s="106"/>
      <c r="JVK492" s="106"/>
      <c r="JVL492" s="106"/>
      <c r="JVM492" s="106"/>
      <c r="JVN492" s="106"/>
      <c r="JVO492" s="106"/>
      <c r="JVP492" s="106"/>
      <c r="JVQ492" s="106"/>
      <c r="JVR492" s="106"/>
      <c r="JVS492" s="106"/>
      <c r="JVT492" s="106"/>
      <c r="JVU492" s="106"/>
      <c r="JVV492" s="106"/>
      <c r="JVW492" s="106"/>
      <c r="JVX492" s="106"/>
      <c r="JVY492" s="106"/>
      <c r="JVZ492" s="106"/>
      <c r="JWA492" s="106"/>
      <c r="JWB492" s="106"/>
      <c r="JWC492" s="106"/>
      <c r="JWD492" s="106"/>
      <c r="JWE492" s="106"/>
      <c r="JWF492" s="106"/>
      <c r="JWG492" s="106"/>
      <c r="JWH492" s="106"/>
      <c r="JWI492" s="106"/>
      <c r="JWJ492" s="106"/>
      <c r="JWK492" s="106"/>
      <c r="JWL492" s="106"/>
      <c r="JWM492" s="106"/>
      <c r="JWN492" s="106"/>
      <c r="JWO492" s="106"/>
      <c r="JWP492" s="106"/>
      <c r="JWQ492" s="106"/>
      <c r="JWR492" s="106"/>
      <c r="JWS492" s="106"/>
      <c r="JWT492" s="106"/>
      <c r="JWU492" s="106"/>
      <c r="JWV492" s="106"/>
      <c r="JWW492" s="106"/>
      <c r="JWX492" s="106"/>
      <c r="JWY492" s="106"/>
      <c r="JWZ492" s="106"/>
      <c r="JXA492" s="106"/>
      <c r="JXB492" s="106"/>
      <c r="JXC492" s="106"/>
      <c r="JXD492" s="106"/>
      <c r="JXE492" s="106"/>
      <c r="JXF492" s="106"/>
      <c r="JXG492" s="106"/>
      <c r="JXH492" s="106"/>
      <c r="JXI492" s="106"/>
      <c r="JXJ492" s="106"/>
      <c r="JXK492" s="106"/>
      <c r="JXL492" s="106"/>
      <c r="JXM492" s="106"/>
      <c r="JXN492" s="106"/>
      <c r="JXO492" s="106"/>
      <c r="JXP492" s="106"/>
      <c r="JXQ492" s="106"/>
      <c r="JXR492" s="106"/>
      <c r="JXS492" s="106"/>
      <c r="JXT492" s="106"/>
      <c r="JXU492" s="106"/>
      <c r="JXV492" s="106"/>
      <c r="JXW492" s="106"/>
      <c r="JXX492" s="106"/>
      <c r="JXY492" s="106"/>
      <c r="JXZ492" s="106"/>
      <c r="JYA492" s="106"/>
      <c r="JYB492" s="106"/>
      <c r="JYC492" s="106"/>
      <c r="JYD492" s="106"/>
      <c r="JYE492" s="106"/>
      <c r="JYF492" s="106"/>
      <c r="JYG492" s="106"/>
      <c r="JYH492" s="106"/>
      <c r="JYI492" s="106"/>
      <c r="JYJ492" s="106"/>
      <c r="JYK492" s="106"/>
      <c r="JYL492" s="106"/>
      <c r="JYM492" s="106"/>
      <c r="JYN492" s="106"/>
      <c r="JYO492" s="106"/>
      <c r="JYP492" s="106"/>
      <c r="JYQ492" s="106"/>
      <c r="JYR492" s="106"/>
      <c r="JYS492" s="106"/>
      <c r="JYT492" s="106"/>
      <c r="JYU492" s="106"/>
      <c r="JYV492" s="106"/>
      <c r="JYW492" s="106"/>
      <c r="JYX492" s="106"/>
      <c r="JYY492" s="106"/>
      <c r="JYZ492" s="106"/>
      <c r="JZA492" s="106"/>
      <c r="JZB492" s="106"/>
      <c r="JZC492" s="106"/>
      <c r="JZD492" s="106"/>
      <c r="JZE492" s="106"/>
      <c r="JZF492" s="106"/>
      <c r="JZG492" s="106"/>
      <c r="JZH492" s="106"/>
      <c r="JZI492" s="106"/>
      <c r="JZJ492" s="106"/>
      <c r="JZK492" s="106"/>
      <c r="JZL492" s="106"/>
      <c r="JZM492" s="106"/>
      <c r="JZN492" s="106"/>
      <c r="JZO492" s="106"/>
      <c r="JZP492" s="106"/>
      <c r="JZQ492" s="106"/>
      <c r="JZR492" s="106"/>
      <c r="JZS492" s="106"/>
      <c r="JZT492" s="106"/>
      <c r="JZU492" s="106"/>
      <c r="JZV492" s="106"/>
      <c r="JZW492" s="106"/>
      <c r="JZX492" s="106"/>
      <c r="JZY492" s="106"/>
      <c r="JZZ492" s="106"/>
      <c r="KAA492" s="106"/>
      <c r="KAB492" s="106"/>
      <c r="KAC492" s="106"/>
      <c r="KAD492" s="106"/>
      <c r="KAE492" s="106"/>
      <c r="KAF492" s="106"/>
      <c r="KAG492" s="106"/>
      <c r="KAH492" s="106"/>
      <c r="KAI492" s="106"/>
      <c r="KAJ492" s="106"/>
      <c r="KAK492" s="106"/>
      <c r="KAL492" s="106"/>
      <c r="KAM492" s="106"/>
      <c r="KAN492" s="106"/>
      <c r="KAO492" s="106"/>
      <c r="KAP492" s="106"/>
      <c r="KAQ492" s="106"/>
      <c r="KAR492" s="106"/>
      <c r="KAS492" s="106"/>
      <c r="KAT492" s="106"/>
      <c r="KAU492" s="106"/>
      <c r="KAV492" s="106"/>
      <c r="KAW492" s="106"/>
      <c r="KAX492" s="106"/>
      <c r="KAY492" s="106"/>
      <c r="KAZ492" s="106"/>
      <c r="KBA492" s="106"/>
      <c r="KBB492" s="106"/>
      <c r="KBC492" s="106"/>
      <c r="KBD492" s="106"/>
      <c r="KBE492" s="106"/>
      <c r="KBF492" s="106"/>
      <c r="KBG492" s="106"/>
      <c r="KBH492" s="106"/>
      <c r="KBI492" s="106"/>
      <c r="KBJ492" s="106"/>
      <c r="KBK492" s="106"/>
      <c r="KBL492" s="106"/>
      <c r="KBM492" s="106"/>
      <c r="KBN492" s="106"/>
      <c r="KBO492" s="106"/>
      <c r="KBP492" s="106"/>
      <c r="KBQ492" s="106"/>
      <c r="KBR492" s="106"/>
      <c r="KBS492" s="106"/>
      <c r="KBT492" s="106"/>
      <c r="KBU492" s="106"/>
      <c r="KBV492" s="106"/>
      <c r="KBW492" s="106"/>
      <c r="KBX492" s="106"/>
      <c r="KBY492" s="106"/>
      <c r="KBZ492" s="106"/>
      <c r="KCA492" s="106"/>
      <c r="KCB492" s="106"/>
      <c r="KCC492" s="106"/>
      <c r="KCD492" s="106"/>
      <c r="KCE492" s="106"/>
      <c r="KCF492" s="106"/>
      <c r="KCG492" s="106"/>
      <c r="KCH492" s="106"/>
      <c r="KCI492" s="106"/>
      <c r="KCJ492" s="106"/>
      <c r="KCK492" s="106"/>
      <c r="KCL492" s="106"/>
      <c r="KCM492" s="106"/>
      <c r="KCN492" s="106"/>
      <c r="KCO492" s="106"/>
      <c r="KCP492" s="106"/>
      <c r="KCQ492" s="106"/>
      <c r="KCR492" s="106"/>
      <c r="KCS492" s="106"/>
      <c r="KCT492" s="106"/>
      <c r="KCU492" s="106"/>
      <c r="KCV492" s="106"/>
      <c r="KCW492" s="106"/>
      <c r="KCX492" s="106"/>
      <c r="KCY492" s="106"/>
      <c r="KCZ492" s="106"/>
      <c r="KDA492" s="106"/>
      <c r="KDB492" s="106"/>
      <c r="KDC492" s="106"/>
      <c r="KDD492" s="106"/>
      <c r="KDE492" s="106"/>
      <c r="KDF492" s="106"/>
      <c r="KDG492" s="106"/>
      <c r="KDH492" s="106"/>
      <c r="KDI492" s="106"/>
      <c r="KDJ492" s="106"/>
      <c r="KDK492" s="106"/>
      <c r="KDL492" s="106"/>
      <c r="KDM492" s="106"/>
      <c r="KDN492" s="106"/>
      <c r="KDO492" s="106"/>
      <c r="KDP492" s="106"/>
      <c r="KDQ492" s="106"/>
      <c r="KDR492" s="106"/>
      <c r="KDS492" s="106"/>
      <c r="KDT492" s="106"/>
      <c r="KDU492" s="106"/>
      <c r="KDV492" s="106"/>
      <c r="KDW492" s="106"/>
      <c r="KDX492" s="106"/>
      <c r="KDY492" s="106"/>
      <c r="KDZ492" s="106"/>
      <c r="KEA492" s="106"/>
      <c r="KEB492" s="106"/>
      <c r="KEC492" s="106"/>
      <c r="KED492" s="106"/>
      <c r="KEE492" s="106"/>
      <c r="KEF492" s="106"/>
      <c r="KEG492" s="106"/>
      <c r="KEH492" s="106"/>
      <c r="KEI492" s="106"/>
      <c r="KEJ492" s="106"/>
      <c r="KEK492" s="106"/>
      <c r="KEL492" s="106"/>
      <c r="KEM492" s="106"/>
      <c r="KEN492" s="106"/>
      <c r="KEO492" s="106"/>
      <c r="KEP492" s="106"/>
      <c r="KEQ492" s="106"/>
      <c r="KER492" s="106"/>
      <c r="KES492" s="106"/>
      <c r="KET492" s="106"/>
      <c r="KEU492" s="106"/>
      <c r="KEV492" s="106"/>
      <c r="KEW492" s="106"/>
      <c r="KEX492" s="106"/>
      <c r="KEY492" s="106"/>
      <c r="KEZ492" s="106"/>
      <c r="KFA492" s="106"/>
      <c r="KFB492" s="106"/>
      <c r="KFC492" s="106"/>
      <c r="KFD492" s="106"/>
      <c r="KFE492" s="106"/>
      <c r="KFF492" s="106"/>
      <c r="KFG492" s="106"/>
      <c r="KFH492" s="106"/>
      <c r="KFI492" s="106"/>
      <c r="KFJ492" s="106"/>
      <c r="KFK492" s="106"/>
      <c r="KFL492" s="106"/>
      <c r="KFM492" s="106"/>
      <c r="KFN492" s="106"/>
      <c r="KFO492" s="106"/>
      <c r="KFP492" s="106"/>
      <c r="KFQ492" s="106"/>
      <c r="KFR492" s="106"/>
      <c r="KFS492" s="106"/>
      <c r="KFT492" s="106"/>
      <c r="KFU492" s="106"/>
      <c r="KFV492" s="106"/>
      <c r="KFW492" s="106"/>
      <c r="KFX492" s="106"/>
      <c r="KFY492" s="106"/>
      <c r="KFZ492" s="106"/>
      <c r="KGA492" s="106"/>
      <c r="KGB492" s="106"/>
      <c r="KGC492" s="106"/>
      <c r="KGD492" s="106"/>
      <c r="KGE492" s="106"/>
      <c r="KGF492" s="106"/>
      <c r="KGG492" s="106"/>
      <c r="KGH492" s="106"/>
      <c r="KGI492" s="106"/>
      <c r="KGJ492" s="106"/>
      <c r="KGK492" s="106"/>
      <c r="KGL492" s="106"/>
      <c r="KGM492" s="106"/>
      <c r="KGN492" s="106"/>
      <c r="KGO492" s="106"/>
      <c r="KGP492" s="106"/>
      <c r="KGQ492" s="106"/>
      <c r="KGR492" s="106"/>
      <c r="KGS492" s="106"/>
      <c r="KGT492" s="106"/>
      <c r="KGU492" s="106"/>
      <c r="KGV492" s="106"/>
      <c r="KGW492" s="106"/>
      <c r="KGX492" s="106"/>
      <c r="KGY492" s="106"/>
      <c r="KGZ492" s="106"/>
      <c r="KHA492" s="106"/>
      <c r="KHB492" s="106"/>
      <c r="KHC492" s="106"/>
      <c r="KHD492" s="106"/>
      <c r="KHE492" s="106"/>
      <c r="KHF492" s="106"/>
      <c r="KHG492" s="106"/>
      <c r="KHH492" s="106"/>
      <c r="KHI492" s="106"/>
      <c r="KHJ492" s="106"/>
      <c r="KHK492" s="106"/>
      <c r="KHL492" s="106"/>
      <c r="KHM492" s="106"/>
      <c r="KHN492" s="106"/>
      <c r="KHO492" s="106"/>
      <c r="KHP492" s="106"/>
      <c r="KHQ492" s="106"/>
      <c r="KHR492" s="106"/>
      <c r="KHS492" s="106"/>
      <c r="KHT492" s="106"/>
      <c r="KHU492" s="106"/>
      <c r="KHV492" s="106"/>
      <c r="KHW492" s="106"/>
      <c r="KHX492" s="106"/>
      <c r="KHY492" s="106"/>
      <c r="KHZ492" s="106"/>
      <c r="KIA492" s="106"/>
      <c r="KIB492" s="106"/>
      <c r="KIC492" s="106"/>
      <c r="KID492" s="106"/>
      <c r="KIE492" s="106"/>
      <c r="KIF492" s="106"/>
      <c r="KIG492" s="106"/>
      <c r="KIH492" s="106"/>
      <c r="KII492" s="106"/>
      <c r="KIJ492" s="106"/>
      <c r="KIK492" s="106"/>
      <c r="KIL492" s="106"/>
      <c r="KIM492" s="106"/>
      <c r="KIN492" s="106"/>
      <c r="KIO492" s="106"/>
      <c r="KIP492" s="106"/>
      <c r="KIQ492" s="106"/>
      <c r="KIR492" s="106"/>
      <c r="KIS492" s="106"/>
      <c r="KIT492" s="106"/>
      <c r="KIU492" s="106"/>
      <c r="KIV492" s="106"/>
      <c r="KIW492" s="106"/>
      <c r="KIX492" s="106"/>
      <c r="KIY492" s="106"/>
      <c r="KIZ492" s="106"/>
      <c r="KJA492" s="106"/>
      <c r="KJB492" s="106"/>
      <c r="KJC492" s="106"/>
      <c r="KJD492" s="106"/>
      <c r="KJE492" s="106"/>
      <c r="KJF492" s="106"/>
      <c r="KJG492" s="106"/>
      <c r="KJH492" s="106"/>
      <c r="KJI492" s="106"/>
      <c r="KJJ492" s="106"/>
      <c r="KJK492" s="106"/>
      <c r="KJL492" s="106"/>
      <c r="KJM492" s="106"/>
      <c r="KJN492" s="106"/>
      <c r="KJO492" s="106"/>
      <c r="KJP492" s="106"/>
      <c r="KJQ492" s="106"/>
      <c r="KJR492" s="106"/>
      <c r="KJS492" s="106"/>
      <c r="KJT492" s="106"/>
      <c r="KJU492" s="106"/>
      <c r="KJV492" s="106"/>
      <c r="KJW492" s="106"/>
      <c r="KJX492" s="106"/>
      <c r="KJY492" s="106"/>
      <c r="KJZ492" s="106"/>
      <c r="KKA492" s="106"/>
      <c r="KKB492" s="106"/>
      <c r="KKC492" s="106"/>
      <c r="KKD492" s="106"/>
      <c r="KKE492" s="106"/>
      <c r="KKF492" s="106"/>
      <c r="KKG492" s="106"/>
      <c r="KKH492" s="106"/>
      <c r="KKI492" s="106"/>
      <c r="KKJ492" s="106"/>
      <c r="KKK492" s="106"/>
      <c r="KKL492" s="106"/>
      <c r="KKM492" s="106"/>
      <c r="KKN492" s="106"/>
      <c r="KKO492" s="106"/>
      <c r="KKP492" s="106"/>
      <c r="KKQ492" s="106"/>
      <c r="KKR492" s="106"/>
      <c r="KKS492" s="106"/>
      <c r="KKT492" s="106"/>
      <c r="KKU492" s="106"/>
      <c r="KKV492" s="106"/>
      <c r="KKW492" s="106"/>
      <c r="KKX492" s="106"/>
      <c r="KKY492" s="106"/>
      <c r="KKZ492" s="106"/>
      <c r="KLA492" s="106"/>
      <c r="KLB492" s="106"/>
      <c r="KLC492" s="106"/>
      <c r="KLD492" s="106"/>
      <c r="KLE492" s="106"/>
      <c r="KLF492" s="106"/>
      <c r="KLG492" s="106"/>
      <c r="KLH492" s="106"/>
      <c r="KLI492" s="106"/>
      <c r="KLJ492" s="106"/>
      <c r="KLK492" s="106"/>
      <c r="KLL492" s="106"/>
      <c r="KLM492" s="106"/>
      <c r="KLN492" s="106"/>
      <c r="KLO492" s="106"/>
      <c r="KLP492" s="106"/>
      <c r="KLQ492" s="106"/>
      <c r="KLR492" s="106"/>
      <c r="KLS492" s="106"/>
      <c r="KLT492" s="106"/>
      <c r="KLU492" s="106"/>
      <c r="KLV492" s="106"/>
      <c r="KLW492" s="106"/>
      <c r="KLX492" s="106"/>
      <c r="KLY492" s="106"/>
      <c r="KLZ492" s="106"/>
      <c r="KMA492" s="106"/>
      <c r="KMB492" s="106"/>
      <c r="KMC492" s="106"/>
      <c r="KMD492" s="106"/>
      <c r="KME492" s="106"/>
      <c r="KMF492" s="106"/>
      <c r="KMG492" s="106"/>
      <c r="KMH492" s="106"/>
      <c r="KMI492" s="106"/>
      <c r="KMJ492" s="106"/>
      <c r="KMK492" s="106"/>
      <c r="KML492" s="106"/>
      <c r="KMM492" s="106"/>
      <c r="KMN492" s="106"/>
      <c r="KMO492" s="106"/>
      <c r="KMP492" s="106"/>
      <c r="KMQ492" s="106"/>
      <c r="KMR492" s="106"/>
      <c r="KMS492" s="106"/>
      <c r="KMT492" s="106"/>
      <c r="KMU492" s="106"/>
      <c r="KMV492" s="106"/>
      <c r="KMW492" s="106"/>
      <c r="KMX492" s="106"/>
      <c r="KMY492" s="106"/>
      <c r="KMZ492" s="106"/>
      <c r="KNA492" s="106"/>
      <c r="KNB492" s="106"/>
      <c r="KNC492" s="106"/>
      <c r="KND492" s="106"/>
      <c r="KNE492" s="106"/>
      <c r="KNF492" s="106"/>
      <c r="KNG492" s="106"/>
      <c r="KNH492" s="106"/>
      <c r="KNI492" s="106"/>
      <c r="KNJ492" s="106"/>
      <c r="KNK492" s="106"/>
      <c r="KNL492" s="106"/>
      <c r="KNM492" s="106"/>
      <c r="KNN492" s="106"/>
      <c r="KNO492" s="106"/>
      <c r="KNP492" s="106"/>
      <c r="KNQ492" s="106"/>
      <c r="KNR492" s="106"/>
      <c r="KNS492" s="106"/>
      <c r="KNT492" s="106"/>
      <c r="KNU492" s="106"/>
      <c r="KNV492" s="106"/>
      <c r="KNW492" s="106"/>
      <c r="KNX492" s="106"/>
      <c r="KNY492" s="106"/>
      <c r="KNZ492" s="106"/>
      <c r="KOA492" s="106"/>
      <c r="KOB492" s="106"/>
      <c r="KOC492" s="106"/>
      <c r="KOD492" s="106"/>
      <c r="KOE492" s="106"/>
      <c r="KOF492" s="106"/>
      <c r="KOG492" s="106"/>
      <c r="KOH492" s="106"/>
      <c r="KOI492" s="106"/>
      <c r="KOJ492" s="106"/>
      <c r="KOK492" s="106"/>
      <c r="KOL492" s="106"/>
      <c r="KOM492" s="106"/>
      <c r="KON492" s="106"/>
      <c r="KOO492" s="106"/>
      <c r="KOP492" s="106"/>
      <c r="KOQ492" s="106"/>
      <c r="KOR492" s="106"/>
      <c r="KOS492" s="106"/>
      <c r="KOT492" s="106"/>
      <c r="KOU492" s="106"/>
      <c r="KOV492" s="106"/>
      <c r="KOW492" s="106"/>
      <c r="KOX492" s="106"/>
      <c r="KOY492" s="106"/>
      <c r="KOZ492" s="106"/>
      <c r="KPA492" s="106"/>
      <c r="KPB492" s="106"/>
      <c r="KPC492" s="106"/>
      <c r="KPD492" s="106"/>
      <c r="KPE492" s="106"/>
      <c r="KPF492" s="106"/>
      <c r="KPG492" s="106"/>
      <c r="KPH492" s="106"/>
      <c r="KPI492" s="106"/>
      <c r="KPJ492" s="106"/>
      <c r="KPK492" s="106"/>
      <c r="KPL492" s="106"/>
      <c r="KPM492" s="106"/>
      <c r="KPN492" s="106"/>
      <c r="KPO492" s="106"/>
      <c r="KPP492" s="106"/>
      <c r="KPQ492" s="106"/>
      <c r="KPR492" s="106"/>
      <c r="KPS492" s="106"/>
      <c r="KPT492" s="106"/>
      <c r="KPU492" s="106"/>
      <c r="KPV492" s="106"/>
      <c r="KPW492" s="106"/>
      <c r="KPX492" s="106"/>
      <c r="KPY492" s="106"/>
      <c r="KPZ492" s="106"/>
      <c r="KQA492" s="106"/>
      <c r="KQB492" s="106"/>
      <c r="KQC492" s="106"/>
      <c r="KQD492" s="106"/>
      <c r="KQE492" s="106"/>
      <c r="KQF492" s="106"/>
      <c r="KQG492" s="106"/>
      <c r="KQH492" s="106"/>
      <c r="KQI492" s="106"/>
      <c r="KQJ492" s="106"/>
      <c r="KQK492" s="106"/>
      <c r="KQL492" s="106"/>
      <c r="KQM492" s="106"/>
      <c r="KQN492" s="106"/>
      <c r="KQO492" s="106"/>
      <c r="KQP492" s="106"/>
      <c r="KQQ492" s="106"/>
      <c r="KQR492" s="106"/>
      <c r="KQS492" s="106"/>
      <c r="KQT492" s="106"/>
      <c r="KQU492" s="106"/>
      <c r="KQV492" s="106"/>
      <c r="KQW492" s="106"/>
      <c r="KQX492" s="106"/>
      <c r="KQY492" s="106"/>
      <c r="KQZ492" s="106"/>
      <c r="KRA492" s="106"/>
      <c r="KRB492" s="106"/>
      <c r="KRC492" s="106"/>
      <c r="KRD492" s="106"/>
      <c r="KRE492" s="106"/>
      <c r="KRF492" s="106"/>
      <c r="KRG492" s="106"/>
      <c r="KRH492" s="106"/>
      <c r="KRI492" s="106"/>
      <c r="KRJ492" s="106"/>
      <c r="KRK492" s="106"/>
      <c r="KRL492" s="106"/>
      <c r="KRM492" s="106"/>
      <c r="KRN492" s="106"/>
      <c r="KRO492" s="106"/>
      <c r="KRP492" s="106"/>
      <c r="KRQ492" s="106"/>
      <c r="KRR492" s="106"/>
      <c r="KRS492" s="106"/>
      <c r="KRT492" s="106"/>
      <c r="KRU492" s="106"/>
      <c r="KRV492" s="106"/>
      <c r="KRW492" s="106"/>
      <c r="KRX492" s="106"/>
      <c r="KRY492" s="106"/>
      <c r="KRZ492" s="106"/>
      <c r="KSA492" s="106"/>
      <c r="KSB492" s="106"/>
      <c r="KSC492" s="106"/>
      <c r="KSD492" s="106"/>
      <c r="KSE492" s="106"/>
      <c r="KSF492" s="106"/>
      <c r="KSG492" s="106"/>
      <c r="KSH492" s="106"/>
      <c r="KSI492" s="106"/>
      <c r="KSJ492" s="106"/>
      <c r="KSK492" s="106"/>
      <c r="KSL492" s="106"/>
      <c r="KSM492" s="106"/>
      <c r="KSN492" s="106"/>
      <c r="KSO492" s="106"/>
      <c r="KSP492" s="106"/>
      <c r="KSQ492" s="106"/>
      <c r="KSR492" s="106"/>
      <c r="KSS492" s="106"/>
      <c r="KST492" s="106"/>
      <c r="KSU492" s="106"/>
      <c r="KSV492" s="106"/>
      <c r="KSW492" s="106"/>
      <c r="KSX492" s="106"/>
      <c r="KSY492" s="106"/>
      <c r="KSZ492" s="106"/>
      <c r="KTA492" s="106"/>
      <c r="KTB492" s="106"/>
      <c r="KTC492" s="106"/>
      <c r="KTD492" s="106"/>
      <c r="KTE492" s="106"/>
      <c r="KTF492" s="106"/>
      <c r="KTG492" s="106"/>
      <c r="KTH492" s="106"/>
      <c r="KTI492" s="106"/>
      <c r="KTJ492" s="106"/>
      <c r="KTK492" s="106"/>
      <c r="KTL492" s="106"/>
      <c r="KTM492" s="106"/>
      <c r="KTN492" s="106"/>
      <c r="KTO492" s="106"/>
      <c r="KTP492" s="106"/>
      <c r="KTQ492" s="106"/>
      <c r="KTR492" s="106"/>
      <c r="KTS492" s="106"/>
      <c r="KTT492" s="106"/>
      <c r="KTU492" s="106"/>
      <c r="KTV492" s="106"/>
      <c r="KTW492" s="106"/>
      <c r="KTX492" s="106"/>
      <c r="KTY492" s="106"/>
      <c r="KTZ492" s="106"/>
      <c r="KUA492" s="106"/>
      <c r="KUB492" s="106"/>
      <c r="KUC492" s="106"/>
      <c r="KUD492" s="106"/>
      <c r="KUE492" s="106"/>
      <c r="KUF492" s="106"/>
      <c r="KUG492" s="106"/>
      <c r="KUH492" s="106"/>
      <c r="KUI492" s="106"/>
      <c r="KUJ492" s="106"/>
      <c r="KUK492" s="106"/>
      <c r="KUL492" s="106"/>
      <c r="KUM492" s="106"/>
      <c r="KUN492" s="106"/>
      <c r="KUO492" s="106"/>
      <c r="KUP492" s="106"/>
      <c r="KUQ492" s="106"/>
      <c r="KUR492" s="106"/>
      <c r="KUS492" s="106"/>
      <c r="KUT492" s="106"/>
      <c r="KUU492" s="106"/>
      <c r="KUV492" s="106"/>
      <c r="KUW492" s="106"/>
      <c r="KUX492" s="106"/>
      <c r="KUY492" s="106"/>
      <c r="KUZ492" s="106"/>
      <c r="KVA492" s="106"/>
      <c r="KVB492" s="106"/>
      <c r="KVC492" s="106"/>
      <c r="KVD492" s="106"/>
      <c r="KVE492" s="106"/>
      <c r="KVF492" s="106"/>
      <c r="KVG492" s="106"/>
      <c r="KVH492" s="106"/>
      <c r="KVI492" s="106"/>
      <c r="KVJ492" s="106"/>
      <c r="KVK492" s="106"/>
      <c r="KVL492" s="106"/>
      <c r="KVM492" s="106"/>
      <c r="KVN492" s="106"/>
      <c r="KVO492" s="106"/>
      <c r="KVP492" s="106"/>
      <c r="KVQ492" s="106"/>
      <c r="KVR492" s="106"/>
      <c r="KVS492" s="106"/>
      <c r="KVT492" s="106"/>
      <c r="KVU492" s="106"/>
      <c r="KVV492" s="106"/>
      <c r="KVW492" s="106"/>
      <c r="KVX492" s="106"/>
      <c r="KVY492" s="106"/>
      <c r="KVZ492" s="106"/>
      <c r="KWA492" s="106"/>
      <c r="KWB492" s="106"/>
      <c r="KWC492" s="106"/>
      <c r="KWD492" s="106"/>
      <c r="KWE492" s="106"/>
      <c r="KWF492" s="106"/>
      <c r="KWG492" s="106"/>
      <c r="KWH492" s="106"/>
      <c r="KWI492" s="106"/>
      <c r="KWJ492" s="106"/>
      <c r="KWK492" s="106"/>
      <c r="KWL492" s="106"/>
      <c r="KWM492" s="106"/>
      <c r="KWN492" s="106"/>
      <c r="KWO492" s="106"/>
      <c r="KWP492" s="106"/>
      <c r="KWQ492" s="106"/>
      <c r="KWR492" s="106"/>
      <c r="KWS492" s="106"/>
      <c r="KWT492" s="106"/>
      <c r="KWU492" s="106"/>
      <c r="KWV492" s="106"/>
      <c r="KWW492" s="106"/>
      <c r="KWX492" s="106"/>
      <c r="KWY492" s="106"/>
      <c r="KWZ492" s="106"/>
      <c r="KXA492" s="106"/>
      <c r="KXB492" s="106"/>
      <c r="KXC492" s="106"/>
      <c r="KXD492" s="106"/>
      <c r="KXE492" s="106"/>
      <c r="KXF492" s="106"/>
      <c r="KXG492" s="106"/>
      <c r="KXH492" s="106"/>
      <c r="KXI492" s="106"/>
      <c r="KXJ492" s="106"/>
      <c r="KXK492" s="106"/>
      <c r="KXL492" s="106"/>
      <c r="KXM492" s="106"/>
      <c r="KXN492" s="106"/>
      <c r="KXO492" s="106"/>
      <c r="KXP492" s="106"/>
      <c r="KXQ492" s="106"/>
      <c r="KXR492" s="106"/>
      <c r="KXS492" s="106"/>
      <c r="KXT492" s="106"/>
      <c r="KXU492" s="106"/>
      <c r="KXV492" s="106"/>
      <c r="KXW492" s="106"/>
      <c r="KXX492" s="106"/>
      <c r="KXY492" s="106"/>
      <c r="KXZ492" s="106"/>
      <c r="KYA492" s="106"/>
      <c r="KYB492" s="106"/>
      <c r="KYC492" s="106"/>
      <c r="KYD492" s="106"/>
      <c r="KYE492" s="106"/>
      <c r="KYF492" s="106"/>
      <c r="KYG492" s="106"/>
      <c r="KYH492" s="106"/>
      <c r="KYI492" s="106"/>
      <c r="KYJ492" s="106"/>
      <c r="KYK492" s="106"/>
      <c r="KYL492" s="106"/>
      <c r="KYM492" s="106"/>
      <c r="KYN492" s="106"/>
      <c r="KYO492" s="106"/>
      <c r="KYP492" s="106"/>
      <c r="KYQ492" s="106"/>
      <c r="KYR492" s="106"/>
      <c r="KYS492" s="106"/>
      <c r="KYT492" s="106"/>
      <c r="KYU492" s="106"/>
      <c r="KYV492" s="106"/>
      <c r="KYW492" s="106"/>
      <c r="KYX492" s="106"/>
      <c r="KYY492" s="106"/>
      <c r="KYZ492" s="106"/>
      <c r="KZA492" s="106"/>
      <c r="KZB492" s="106"/>
      <c r="KZC492" s="106"/>
      <c r="KZD492" s="106"/>
      <c r="KZE492" s="106"/>
      <c r="KZF492" s="106"/>
      <c r="KZG492" s="106"/>
      <c r="KZH492" s="106"/>
      <c r="KZI492" s="106"/>
      <c r="KZJ492" s="106"/>
      <c r="KZK492" s="106"/>
      <c r="KZL492" s="106"/>
      <c r="KZM492" s="106"/>
      <c r="KZN492" s="106"/>
      <c r="KZO492" s="106"/>
      <c r="KZP492" s="106"/>
      <c r="KZQ492" s="106"/>
      <c r="KZR492" s="106"/>
      <c r="KZS492" s="106"/>
      <c r="KZT492" s="106"/>
      <c r="KZU492" s="106"/>
      <c r="KZV492" s="106"/>
      <c r="KZW492" s="106"/>
      <c r="KZX492" s="106"/>
      <c r="KZY492" s="106"/>
      <c r="KZZ492" s="106"/>
      <c r="LAA492" s="106"/>
      <c r="LAB492" s="106"/>
      <c r="LAC492" s="106"/>
      <c r="LAD492" s="106"/>
      <c r="LAE492" s="106"/>
      <c r="LAF492" s="106"/>
      <c r="LAG492" s="106"/>
      <c r="LAH492" s="106"/>
      <c r="LAI492" s="106"/>
      <c r="LAJ492" s="106"/>
      <c r="LAK492" s="106"/>
      <c r="LAL492" s="106"/>
      <c r="LAM492" s="106"/>
      <c r="LAN492" s="106"/>
      <c r="LAO492" s="106"/>
      <c r="LAP492" s="106"/>
      <c r="LAQ492" s="106"/>
      <c r="LAR492" s="106"/>
      <c r="LAS492" s="106"/>
      <c r="LAT492" s="106"/>
      <c r="LAU492" s="106"/>
      <c r="LAV492" s="106"/>
      <c r="LAW492" s="106"/>
      <c r="LAX492" s="106"/>
      <c r="LAY492" s="106"/>
      <c r="LAZ492" s="106"/>
      <c r="LBA492" s="106"/>
      <c r="LBB492" s="106"/>
      <c r="LBC492" s="106"/>
      <c r="LBD492" s="106"/>
      <c r="LBE492" s="106"/>
      <c r="LBF492" s="106"/>
      <c r="LBG492" s="106"/>
      <c r="LBH492" s="106"/>
      <c r="LBI492" s="106"/>
      <c r="LBJ492" s="106"/>
      <c r="LBK492" s="106"/>
      <c r="LBL492" s="106"/>
      <c r="LBM492" s="106"/>
      <c r="LBN492" s="106"/>
      <c r="LBO492" s="106"/>
      <c r="LBP492" s="106"/>
      <c r="LBQ492" s="106"/>
      <c r="LBR492" s="106"/>
      <c r="LBS492" s="106"/>
      <c r="LBT492" s="106"/>
      <c r="LBU492" s="106"/>
      <c r="LBV492" s="106"/>
      <c r="LBW492" s="106"/>
      <c r="LBX492" s="106"/>
      <c r="LBY492" s="106"/>
      <c r="LBZ492" s="106"/>
      <c r="LCA492" s="106"/>
      <c r="LCB492" s="106"/>
      <c r="LCC492" s="106"/>
      <c r="LCD492" s="106"/>
      <c r="LCE492" s="106"/>
      <c r="LCF492" s="106"/>
      <c r="LCG492" s="106"/>
      <c r="LCH492" s="106"/>
      <c r="LCI492" s="106"/>
      <c r="LCJ492" s="106"/>
      <c r="LCK492" s="106"/>
      <c r="LCL492" s="106"/>
      <c r="LCM492" s="106"/>
      <c r="LCN492" s="106"/>
      <c r="LCO492" s="106"/>
      <c r="LCP492" s="106"/>
      <c r="LCQ492" s="106"/>
      <c r="LCR492" s="106"/>
      <c r="LCS492" s="106"/>
      <c r="LCT492" s="106"/>
      <c r="LCU492" s="106"/>
      <c r="LCV492" s="106"/>
      <c r="LCW492" s="106"/>
      <c r="LCX492" s="106"/>
      <c r="LCY492" s="106"/>
      <c r="LCZ492" s="106"/>
      <c r="LDA492" s="106"/>
      <c r="LDB492" s="106"/>
      <c r="LDC492" s="106"/>
      <c r="LDD492" s="106"/>
      <c r="LDE492" s="106"/>
      <c r="LDF492" s="106"/>
      <c r="LDG492" s="106"/>
      <c r="LDH492" s="106"/>
      <c r="LDI492" s="106"/>
      <c r="LDJ492" s="106"/>
      <c r="LDK492" s="106"/>
      <c r="LDL492" s="106"/>
      <c r="LDM492" s="106"/>
      <c r="LDN492" s="106"/>
      <c r="LDO492" s="106"/>
      <c r="LDP492" s="106"/>
      <c r="LDQ492" s="106"/>
      <c r="LDR492" s="106"/>
      <c r="LDS492" s="106"/>
      <c r="LDT492" s="106"/>
      <c r="LDU492" s="106"/>
      <c r="LDV492" s="106"/>
      <c r="LDW492" s="106"/>
      <c r="LDX492" s="106"/>
      <c r="LDY492" s="106"/>
      <c r="LDZ492" s="106"/>
      <c r="LEA492" s="106"/>
      <c r="LEB492" s="106"/>
      <c r="LEC492" s="106"/>
      <c r="LED492" s="106"/>
      <c r="LEE492" s="106"/>
      <c r="LEF492" s="106"/>
      <c r="LEG492" s="106"/>
      <c r="LEH492" s="106"/>
      <c r="LEI492" s="106"/>
      <c r="LEJ492" s="106"/>
      <c r="LEK492" s="106"/>
      <c r="LEL492" s="106"/>
      <c r="LEM492" s="106"/>
      <c r="LEN492" s="106"/>
      <c r="LEO492" s="106"/>
      <c r="LEP492" s="106"/>
      <c r="LEQ492" s="106"/>
      <c r="LER492" s="106"/>
      <c r="LES492" s="106"/>
      <c r="LET492" s="106"/>
      <c r="LEU492" s="106"/>
      <c r="LEV492" s="106"/>
      <c r="LEW492" s="106"/>
      <c r="LEX492" s="106"/>
      <c r="LEY492" s="106"/>
      <c r="LEZ492" s="106"/>
      <c r="LFA492" s="106"/>
      <c r="LFB492" s="106"/>
      <c r="LFC492" s="106"/>
      <c r="LFD492" s="106"/>
      <c r="LFE492" s="106"/>
      <c r="LFF492" s="106"/>
      <c r="LFG492" s="106"/>
      <c r="LFH492" s="106"/>
      <c r="LFI492" s="106"/>
      <c r="LFJ492" s="106"/>
      <c r="LFK492" s="106"/>
      <c r="LFL492" s="106"/>
      <c r="LFM492" s="106"/>
      <c r="LFN492" s="106"/>
      <c r="LFO492" s="106"/>
      <c r="LFP492" s="106"/>
      <c r="LFQ492" s="106"/>
      <c r="LFR492" s="106"/>
      <c r="LFS492" s="106"/>
      <c r="LFT492" s="106"/>
      <c r="LFU492" s="106"/>
      <c r="LFV492" s="106"/>
      <c r="LFW492" s="106"/>
      <c r="LFX492" s="106"/>
      <c r="LFY492" s="106"/>
      <c r="LFZ492" s="106"/>
      <c r="LGA492" s="106"/>
      <c r="LGB492" s="106"/>
      <c r="LGC492" s="106"/>
      <c r="LGD492" s="106"/>
      <c r="LGE492" s="106"/>
      <c r="LGF492" s="106"/>
      <c r="LGG492" s="106"/>
      <c r="LGH492" s="106"/>
      <c r="LGI492" s="106"/>
      <c r="LGJ492" s="106"/>
      <c r="LGK492" s="106"/>
      <c r="LGL492" s="106"/>
      <c r="LGM492" s="106"/>
      <c r="LGN492" s="106"/>
      <c r="LGO492" s="106"/>
      <c r="LGP492" s="106"/>
      <c r="LGQ492" s="106"/>
      <c r="LGR492" s="106"/>
      <c r="LGS492" s="106"/>
      <c r="LGT492" s="106"/>
      <c r="LGU492" s="106"/>
      <c r="LGV492" s="106"/>
      <c r="LGW492" s="106"/>
      <c r="LGX492" s="106"/>
      <c r="LGY492" s="106"/>
      <c r="LGZ492" s="106"/>
      <c r="LHA492" s="106"/>
      <c r="LHB492" s="106"/>
      <c r="LHC492" s="106"/>
      <c r="LHD492" s="106"/>
      <c r="LHE492" s="106"/>
      <c r="LHF492" s="106"/>
      <c r="LHG492" s="106"/>
      <c r="LHH492" s="106"/>
      <c r="LHI492" s="106"/>
      <c r="LHJ492" s="106"/>
      <c r="LHK492" s="106"/>
      <c r="LHL492" s="106"/>
      <c r="LHM492" s="106"/>
      <c r="LHN492" s="106"/>
      <c r="LHO492" s="106"/>
      <c r="LHP492" s="106"/>
      <c r="LHQ492" s="106"/>
      <c r="LHR492" s="106"/>
      <c r="LHS492" s="106"/>
      <c r="LHT492" s="106"/>
      <c r="LHU492" s="106"/>
      <c r="LHV492" s="106"/>
      <c r="LHW492" s="106"/>
      <c r="LHX492" s="106"/>
      <c r="LHY492" s="106"/>
      <c r="LHZ492" s="106"/>
      <c r="LIA492" s="106"/>
      <c r="LIB492" s="106"/>
      <c r="LIC492" s="106"/>
      <c r="LID492" s="106"/>
      <c r="LIE492" s="106"/>
      <c r="LIF492" s="106"/>
      <c r="LIG492" s="106"/>
      <c r="LIH492" s="106"/>
      <c r="LII492" s="106"/>
      <c r="LIJ492" s="106"/>
      <c r="LIK492" s="106"/>
      <c r="LIL492" s="106"/>
      <c r="LIM492" s="106"/>
      <c r="LIN492" s="106"/>
      <c r="LIO492" s="106"/>
      <c r="LIP492" s="106"/>
      <c r="LIQ492" s="106"/>
      <c r="LIR492" s="106"/>
      <c r="LIS492" s="106"/>
      <c r="LIT492" s="106"/>
      <c r="LIU492" s="106"/>
      <c r="LIV492" s="106"/>
      <c r="LIW492" s="106"/>
      <c r="LIX492" s="106"/>
      <c r="LIY492" s="106"/>
      <c r="LIZ492" s="106"/>
      <c r="LJA492" s="106"/>
      <c r="LJB492" s="106"/>
      <c r="LJC492" s="106"/>
      <c r="LJD492" s="106"/>
      <c r="LJE492" s="106"/>
      <c r="LJF492" s="106"/>
      <c r="LJG492" s="106"/>
      <c r="LJH492" s="106"/>
      <c r="LJI492" s="106"/>
      <c r="LJJ492" s="106"/>
      <c r="LJK492" s="106"/>
      <c r="LJL492" s="106"/>
      <c r="LJM492" s="106"/>
      <c r="LJN492" s="106"/>
      <c r="LJO492" s="106"/>
      <c r="LJP492" s="106"/>
      <c r="LJQ492" s="106"/>
      <c r="LJR492" s="106"/>
      <c r="LJS492" s="106"/>
      <c r="LJT492" s="106"/>
      <c r="LJU492" s="106"/>
      <c r="LJV492" s="106"/>
      <c r="LJW492" s="106"/>
      <c r="LJX492" s="106"/>
      <c r="LJY492" s="106"/>
      <c r="LJZ492" s="106"/>
      <c r="LKA492" s="106"/>
      <c r="LKB492" s="106"/>
      <c r="LKC492" s="106"/>
      <c r="LKD492" s="106"/>
      <c r="LKE492" s="106"/>
      <c r="LKF492" s="106"/>
      <c r="LKG492" s="106"/>
      <c r="LKH492" s="106"/>
      <c r="LKI492" s="106"/>
      <c r="LKJ492" s="106"/>
      <c r="LKK492" s="106"/>
      <c r="LKL492" s="106"/>
      <c r="LKM492" s="106"/>
      <c r="LKN492" s="106"/>
      <c r="LKO492" s="106"/>
      <c r="LKP492" s="106"/>
      <c r="LKQ492" s="106"/>
      <c r="LKR492" s="106"/>
      <c r="LKS492" s="106"/>
      <c r="LKT492" s="106"/>
      <c r="LKU492" s="106"/>
      <c r="LKV492" s="106"/>
      <c r="LKW492" s="106"/>
      <c r="LKX492" s="106"/>
      <c r="LKY492" s="106"/>
      <c r="LKZ492" s="106"/>
      <c r="LLA492" s="106"/>
      <c r="LLB492" s="106"/>
      <c r="LLC492" s="106"/>
      <c r="LLD492" s="106"/>
      <c r="LLE492" s="106"/>
      <c r="LLF492" s="106"/>
      <c r="LLG492" s="106"/>
      <c r="LLH492" s="106"/>
      <c r="LLI492" s="106"/>
      <c r="LLJ492" s="106"/>
      <c r="LLK492" s="106"/>
      <c r="LLL492" s="106"/>
      <c r="LLM492" s="106"/>
      <c r="LLN492" s="106"/>
      <c r="LLO492" s="106"/>
      <c r="LLP492" s="106"/>
      <c r="LLQ492" s="106"/>
      <c r="LLR492" s="106"/>
      <c r="LLS492" s="106"/>
      <c r="LLT492" s="106"/>
      <c r="LLU492" s="106"/>
      <c r="LLV492" s="106"/>
      <c r="LLW492" s="106"/>
      <c r="LLX492" s="106"/>
      <c r="LLY492" s="106"/>
      <c r="LLZ492" s="106"/>
      <c r="LMA492" s="106"/>
      <c r="LMB492" s="106"/>
      <c r="LMC492" s="106"/>
      <c r="LMD492" s="106"/>
      <c r="LME492" s="106"/>
      <c r="LMF492" s="106"/>
      <c r="LMG492" s="106"/>
      <c r="LMH492" s="106"/>
      <c r="LMI492" s="106"/>
      <c r="LMJ492" s="106"/>
      <c r="LMK492" s="106"/>
      <c r="LML492" s="106"/>
      <c r="LMM492" s="106"/>
      <c r="LMN492" s="106"/>
      <c r="LMO492" s="106"/>
      <c r="LMP492" s="106"/>
      <c r="LMQ492" s="106"/>
      <c r="LMR492" s="106"/>
      <c r="LMS492" s="106"/>
      <c r="LMT492" s="106"/>
      <c r="LMU492" s="106"/>
      <c r="LMV492" s="106"/>
      <c r="LMW492" s="106"/>
      <c r="LMX492" s="106"/>
      <c r="LMY492" s="106"/>
      <c r="LMZ492" s="106"/>
      <c r="LNA492" s="106"/>
      <c r="LNB492" s="106"/>
      <c r="LNC492" s="106"/>
      <c r="LND492" s="106"/>
      <c r="LNE492" s="106"/>
      <c r="LNF492" s="106"/>
      <c r="LNG492" s="106"/>
      <c r="LNH492" s="106"/>
      <c r="LNI492" s="106"/>
      <c r="LNJ492" s="106"/>
      <c r="LNK492" s="106"/>
      <c r="LNL492" s="106"/>
      <c r="LNM492" s="106"/>
      <c r="LNN492" s="106"/>
      <c r="LNO492" s="106"/>
      <c r="LNP492" s="106"/>
      <c r="LNQ492" s="106"/>
      <c r="LNR492" s="106"/>
      <c r="LNS492" s="106"/>
      <c r="LNT492" s="106"/>
      <c r="LNU492" s="106"/>
      <c r="LNV492" s="106"/>
      <c r="LNW492" s="106"/>
      <c r="LNX492" s="106"/>
      <c r="LNY492" s="106"/>
      <c r="LNZ492" s="106"/>
      <c r="LOA492" s="106"/>
      <c r="LOB492" s="106"/>
      <c r="LOC492" s="106"/>
      <c r="LOD492" s="106"/>
      <c r="LOE492" s="106"/>
      <c r="LOF492" s="106"/>
      <c r="LOG492" s="106"/>
      <c r="LOH492" s="106"/>
      <c r="LOI492" s="106"/>
      <c r="LOJ492" s="106"/>
      <c r="LOK492" s="106"/>
      <c r="LOL492" s="106"/>
      <c r="LOM492" s="106"/>
      <c r="LON492" s="106"/>
      <c r="LOO492" s="106"/>
      <c r="LOP492" s="106"/>
      <c r="LOQ492" s="106"/>
      <c r="LOR492" s="106"/>
      <c r="LOS492" s="106"/>
      <c r="LOT492" s="106"/>
      <c r="LOU492" s="106"/>
      <c r="LOV492" s="106"/>
      <c r="LOW492" s="106"/>
      <c r="LOX492" s="106"/>
      <c r="LOY492" s="106"/>
      <c r="LOZ492" s="106"/>
      <c r="LPA492" s="106"/>
      <c r="LPB492" s="106"/>
      <c r="LPC492" s="106"/>
      <c r="LPD492" s="106"/>
      <c r="LPE492" s="106"/>
      <c r="LPF492" s="106"/>
      <c r="LPG492" s="106"/>
      <c r="LPH492" s="106"/>
      <c r="LPI492" s="106"/>
      <c r="LPJ492" s="106"/>
      <c r="LPK492" s="106"/>
      <c r="LPL492" s="106"/>
      <c r="LPM492" s="106"/>
      <c r="LPN492" s="106"/>
      <c r="LPO492" s="106"/>
      <c r="LPP492" s="106"/>
      <c r="LPQ492" s="106"/>
      <c r="LPR492" s="106"/>
      <c r="LPS492" s="106"/>
      <c r="LPT492" s="106"/>
      <c r="LPU492" s="106"/>
      <c r="LPV492" s="106"/>
      <c r="LPW492" s="106"/>
      <c r="LPX492" s="106"/>
      <c r="LPY492" s="106"/>
      <c r="LPZ492" s="106"/>
      <c r="LQA492" s="106"/>
      <c r="LQB492" s="106"/>
      <c r="LQC492" s="106"/>
      <c r="LQD492" s="106"/>
      <c r="LQE492" s="106"/>
      <c r="LQF492" s="106"/>
      <c r="LQG492" s="106"/>
      <c r="LQH492" s="106"/>
      <c r="LQI492" s="106"/>
      <c r="LQJ492" s="106"/>
      <c r="LQK492" s="106"/>
      <c r="LQL492" s="106"/>
      <c r="LQM492" s="106"/>
      <c r="LQN492" s="106"/>
      <c r="LQO492" s="106"/>
      <c r="LQP492" s="106"/>
      <c r="LQQ492" s="106"/>
      <c r="LQR492" s="106"/>
      <c r="LQS492" s="106"/>
      <c r="LQT492" s="106"/>
      <c r="LQU492" s="106"/>
      <c r="LQV492" s="106"/>
      <c r="LQW492" s="106"/>
      <c r="LQX492" s="106"/>
      <c r="LQY492" s="106"/>
      <c r="LQZ492" s="106"/>
      <c r="LRA492" s="106"/>
      <c r="LRB492" s="106"/>
      <c r="LRC492" s="106"/>
      <c r="LRD492" s="106"/>
      <c r="LRE492" s="106"/>
      <c r="LRF492" s="106"/>
      <c r="LRG492" s="106"/>
      <c r="LRH492" s="106"/>
      <c r="LRI492" s="106"/>
      <c r="LRJ492" s="106"/>
      <c r="LRK492" s="106"/>
      <c r="LRL492" s="106"/>
      <c r="LRM492" s="106"/>
      <c r="LRN492" s="106"/>
      <c r="LRO492" s="106"/>
      <c r="LRP492" s="106"/>
      <c r="LRQ492" s="106"/>
      <c r="LRR492" s="106"/>
      <c r="LRS492" s="106"/>
      <c r="LRT492" s="106"/>
      <c r="LRU492" s="106"/>
      <c r="LRV492" s="106"/>
      <c r="LRW492" s="106"/>
      <c r="LRX492" s="106"/>
      <c r="LRY492" s="106"/>
      <c r="LRZ492" s="106"/>
      <c r="LSA492" s="106"/>
      <c r="LSB492" s="106"/>
      <c r="LSC492" s="106"/>
      <c r="LSD492" s="106"/>
      <c r="LSE492" s="106"/>
      <c r="LSF492" s="106"/>
      <c r="LSG492" s="106"/>
      <c r="LSH492" s="106"/>
      <c r="LSI492" s="106"/>
      <c r="LSJ492" s="106"/>
      <c r="LSK492" s="106"/>
      <c r="LSL492" s="106"/>
      <c r="LSM492" s="106"/>
      <c r="LSN492" s="106"/>
      <c r="LSO492" s="106"/>
      <c r="LSP492" s="106"/>
      <c r="LSQ492" s="106"/>
      <c r="LSR492" s="106"/>
      <c r="LSS492" s="106"/>
      <c r="LST492" s="106"/>
      <c r="LSU492" s="106"/>
      <c r="LSV492" s="106"/>
      <c r="LSW492" s="106"/>
      <c r="LSX492" s="106"/>
      <c r="LSY492" s="106"/>
      <c r="LSZ492" s="106"/>
      <c r="LTA492" s="106"/>
      <c r="LTB492" s="106"/>
      <c r="LTC492" s="106"/>
      <c r="LTD492" s="106"/>
      <c r="LTE492" s="106"/>
      <c r="LTF492" s="106"/>
      <c r="LTG492" s="106"/>
      <c r="LTH492" s="106"/>
      <c r="LTI492" s="106"/>
      <c r="LTJ492" s="106"/>
      <c r="LTK492" s="106"/>
      <c r="LTL492" s="106"/>
      <c r="LTM492" s="106"/>
      <c r="LTN492" s="106"/>
      <c r="LTO492" s="106"/>
      <c r="LTP492" s="106"/>
      <c r="LTQ492" s="106"/>
      <c r="LTR492" s="106"/>
      <c r="LTS492" s="106"/>
      <c r="LTT492" s="106"/>
      <c r="LTU492" s="106"/>
      <c r="LTV492" s="106"/>
      <c r="LTW492" s="106"/>
      <c r="LTX492" s="106"/>
      <c r="LTY492" s="106"/>
      <c r="LTZ492" s="106"/>
      <c r="LUA492" s="106"/>
      <c r="LUB492" s="106"/>
      <c r="LUC492" s="106"/>
      <c r="LUD492" s="106"/>
      <c r="LUE492" s="106"/>
      <c r="LUF492" s="106"/>
      <c r="LUG492" s="106"/>
      <c r="LUH492" s="106"/>
      <c r="LUI492" s="106"/>
      <c r="LUJ492" s="106"/>
      <c r="LUK492" s="106"/>
      <c r="LUL492" s="106"/>
      <c r="LUM492" s="106"/>
      <c r="LUN492" s="106"/>
      <c r="LUO492" s="106"/>
      <c r="LUP492" s="106"/>
      <c r="LUQ492" s="106"/>
      <c r="LUR492" s="106"/>
      <c r="LUS492" s="106"/>
      <c r="LUT492" s="106"/>
      <c r="LUU492" s="106"/>
      <c r="LUV492" s="106"/>
      <c r="LUW492" s="106"/>
      <c r="LUX492" s="106"/>
      <c r="LUY492" s="106"/>
      <c r="LUZ492" s="106"/>
      <c r="LVA492" s="106"/>
      <c r="LVB492" s="106"/>
      <c r="LVC492" s="106"/>
      <c r="LVD492" s="106"/>
      <c r="LVE492" s="106"/>
      <c r="LVF492" s="106"/>
      <c r="LVG492" s="106"/>
      <c r="LVH492" s="106"/>
      <c r="LVI492" s="106"/>
      <c r="LVJ492" s="106"/>
      <c r="LVK492" s="106"/>
      <c r="LVL492" s="106"/>
      <c r="LVM492" s="106"/>
      <c r="LVN492" s="106"/>
      <c r="LVO492" s="106"/>
      <c r="LVP492" s="106"/>
      <c r="LVQ492" s="106"/>
      <c r="LVR492" s="106"/>
      <c r="LVS492" s="106"/>
      <c r="LVT492" s="106"/>
      <c r="LVU492" s="106"/>
      <c r="LVV492" s="106"/>
      <c r="LVW492" s="106"/>
      <c r="LVX492" s="106"/>
      <c r="LVY492" s="106"/>
      <c r="LVZ492" s="106"/>
      <c r="LWA492" s="106"/>
      <c r="LWB492" s="106"/>
      <c r="LWC492" s="106"/>
      <c r="LWD492" s="106"/>
      <c r="LWE492" s="106"/>
      <c r="LWF492" s="106"/>
      <c r="LWG492" s="106"/>
      <c r="LWH492" s="106"/>
      <c r="LWI492" s="106"/>
      <c r="LWJ492" s="106"/>
      <c r="LWK492" s="106"/>
      <c r="LWL492" s="106"/>
      <c r="LWM492" s="106"/>
      <c r="LWN492" s="106"/>
      <c r="LWO492" s="106"/>
      <c r="LWP492" s="106"/>
      <c r="LWQ492" s="106"/>
      <c r="LWR492" s="106"/>
      <c r="LWS492" s="106"/>
      <c r="LWT492" s="106"/>
      <c r="LWU492" s="106"/>
      <c r="LWV492" s="106"/>
      <c r="LWW492" s="106"/>
      <c r="LWX492" s="106"/>
      <c r="LWY492" s="106"/>
      <c r="LWZ492" s="106"/>
      <c r="LXA492" s="106"/>
      <c r="LXB492" s="106"/>
      <c r="LXC492" s="106"/>
      <c r="LXD492" s="106"/>
      <c r="LXE492" s="106"/>
      <c r="LXF492" s="106"/>
      <c r="LXG492" s="106"/>
      <c r="LXH492" s="106"/>
      <c r="LXI492" s="106"/>
      <c r="LXJ492" s="106"/>
      <c r="LXK492" s="106"/>
      <c r="LXL492" s="106"/>
      <c r="LXM492" s="106"/>
      <c r="LXN492" s="106"/>
      <c r="LXO492" s="106"/>
      <c r="LXP492" s="106"/>
      <c r="LXQ492" s="106"/>
      <c r="LXR492" s="106"/>
      <c r="LXS492" s="106"/>
      <c r="LXT492" s="106"/>
      <c r="LXU492" s="106"/>
      <c r="LXV492" s="106"/>
      <c r="LXW492" s="106"/>
      <c r="LXX492" s="106"/>
      <c r="LXY492" s="106"/>
      <c r="LXZ492" s="106"/>
      <c r="LYA492" s="106"/>
      <c r="LYB492" s="106"/>
      <c r="LYC492" s="106"/>
      <c r="LYD492" s="106"/>
      <c r="LYE492" s="106"/>
      <c r="LYF492" s="106"/>
      <c r="LYG492" s="106"/>
      <c r="LYH492" s="106"/>
      <c r="LYI492" s="106"/>
      <c r="LYJ492" s="106"/>
      <c r="LYK492" s="106"/>
      <c r="LYL492" s="106"/>
      <c r="LYM492" s="106"/>
      <c r="LYN492" s="106"/>
      <c r="LYO492" s="106"/>
      <c r="LYP492" s="106"/>
      <c r="LYQ492" s="106"/>
      <c r="LYR492" s="106"/>
      <c r="LYS492" s="106"/>
      <c r="LYT492" s="106"/>
      <c r="LYU492" s="106"/>
      <c r="LYV492" s="106"/>
      <c r="LYW492" s="106"/>
      <c r="LYX492" s="106"/>
      <c r="LYY492" s="106"/>
      <c r="LYZ492" s="106"/>
      <c r="LZA492" s="106"/>
      <c r="LZB492" s="106"/>
      <c r="LZC492" s="106"/>
      <c r="LZD492" s="106"/>
      <c r="LZE492" s="106"/>
      <c r="LZF492" s="106"/>
      <c r="LZG492" s="106"/>
      <c r="LZH492" s="106"/>
      <c r="LZI492" s="106"/>
      <c r="LZJ492" s="106"/>
      <c r="LZK492" s="106"/>
      <c r="LZL492" s="106"/>
      <c r="LZM492" s="106"/>
      <c r="LZN492" s="106"/>
      <c r="LZO492" s="106"/>
      <c r="LZP492" s="106"/>
      <c r="LZQ492" s="106"/>
      <c r="LZR492" s="106"/>
      <c r="LZS492" s="106"/>
      <c r="LZT492" s="106"/>
      <c r="LZU492" s="106"/>
      <c r="LZV492" s="106"/>
      <c r="LZW492" s="106"/>
      <c r="LZX492" s="106"/>
      <c r="LZY492" s="106"/>
      <c r="LZZ492" s="106"/>
      <c r="MAA492" s="106"/>
      <c r="MAB492" s="106"/>
      <c r="MAC492" s="106"/>
      <c r="MAD492" s="106"/>
      <c r="MAE492" s="106"/>
      <c r="MAF492" s="106"/>
      <c r="MAG492" s="106"/>
      <c r="MAH492" s="106"/>
      <c r="MAI492" s="106"/>
      <c r="MAJ492" s="106"/>
      <c r="MAK492" s="106"/>
      <c r="MAL492" s="106"/>
      <c r="MAM492" s="106"/>
      <c r="MAN492" s="106"/>
      <c r="MAO492" s="106"/>
      <c r="MAP492" s="106"/>
      <c r="MAQ492" s="106"/>
      <c r="MAR492" s="106"/>
      <c r="MAS492" s="106"/>
      <c r="MAT492" s="106"/>
      <c r="MAU492" s="106"/>
      <c r="MAV492" s="106"/>
      <c r="MAW492" s="106"/>
      <c r="MAX492" s="106"/>
      <c r="MAY492" s="106"/>
      <c r="MAZ492" s="106"/>
      <c r="MBA492" s="106"/>
      <c r="MBB492" s="106"/>
      <c r="MBC492" s="106"/>
      <c r="MBD492" s="106"/>
      <c r="MBE492" s="106"/>
      <c r="MBF492" s="106"/>
      <c r="MBG492" s="106"/>
      <c r="MBH492" s="106"/>
      <c r="MBI492" s="106"/>
      <c r="MBJ492" s="106"/>
      <c r="MBK492" s="106"/>
      <c r="MBL492" s="106"/>
      <c r="MBM492" s="106"/>
      <c r="MBN492" s="106"/>
      <c r="MBO492" s="106"/>
      <c r="MBP492" s="106"/>
      <c r="MBQ492" s="106"/>
      <c r="MBR492" s="106"/>
      <c r="MBS492" s="106"/>
      <c r="MBT492" s="106"/>
      <c r="MBU492" s="106"/>
      <c r="MBV492" s="106"/>
      <c r="MBW492" s="106"/>
      <c r="MBX492" s="106"/>
      <c r="MBY492" s="106"/>
      <c r="MBZ492" s="106"/>
      <c r="MCA492" s="106"/>
      <c r="MCB492" s="106"/>
      <c r="MCC492" s="106"/>
      <c r="MCD492" s="106"/>
      <c r="MCE492" s="106"/>
      <c r="MCF492" s="106"/>
      <c r="MCG492" s="106"/>
      <c r="MCH492" s="106"/>
      <c r="MCI492" s="106"/>
      <c r="MCJ492" s="106"/>
      <c r="MCK492" s="106"/>
      <c r="MCL492" s="106"/>
      <c r="MCM492" s="106"/>
      <c r="MCN492" s="106"/>
      <c r="MCO492" s="106"/>
      <c r="MCP492" s="106"/>
      <c r="MCQ492" s="106"/>
      <c r="MCR492" s="106"/>
      <c r="MCS492" s="106"/>
      <c r="MCT492" s="106"/>
      <c r="MCU492" s="106"/>
      <c r="MCV492" s="106"/>
      <c r="MCW492" s="106"/>
      <c r="MCX492" s="106"/>
      <c r="MCY492" s="106"/>
      <c r="MCZ492" s="106"/>
      <c r="MDA492" s="106"/>
      <c r="MDB492" s="106"/>
      <c r="MDC492" s="106"/>
      <c r="MDD492" s="106"/>
      <c r="MDE492" s="106"/>
      <c r="MDF492" s="106"/>
      <c r="MDG492" s="106"/>
      <c r="MDH492" s="106"/>
      <c r="MDI492" s="106"/>
      <c r="MDJ492" s="106"/>
      <c r="MDK492" s="106"/>
      <c r="MDL492" s="106"/>
      <c r="MDM492" s="106"/>
      <c r="MDN492" s="106"/>
      <c r="MDO492" s="106"/>
      <c r="MDP492" s="106"/>
      <c r="MDQ492" s="106"/>
      <c r="MDR492" s="106"/>
      <c r="MDS492" s="106"/>
      <c r="MDT492" s="106"/>
      <c r="MDU492" s="106"/>
      <c r="MDV492" s="106"/>
      <c r="MDW492" s="106"/>
      <c r="MDX492" s="106"/>
      <c r="MDY492" s="106"/>
      <c r="MDZ492" s="106"/>
      <c r="MEA492" s="106"/>
      <c r="MEB492" s="106"/>
      <c r="MEC492" s="106"/>
      <c r="MED492" s="106"/>
      <c r="MEE492" s="106"/>
      <c r="MEF492" s="106"/>
      <c r="MEG492" s="106"/>
      <c r="MEH492" s="106"/>
      <c r="MEI492" s="106"/>
      <c r="MEJ492" s="106"/>
      <c r="MEK492" s="106"/>
      <c r="MEL492" s="106"/>
      <c r="MEM492" s="106"/>
      <c r="MEN492" s="106"/>
      <c r="MEO492" s="106"/>
      <c r="MEP492" s="106"/>
      <c r="MEQ492" s="106"/>
      <c r="MER492" s="106"/>
      <c r="MES492" s="106"/>
      <c r="MET492" s="106"/>
      <c r="MEU492" s="106"/>
      <c r="MEV492" s="106"/>
      <c r="MEW492" s="106"/>
      <c r="MEX492" s="106"/>
      <c r="MEY492" s="106"/>
      <c r="MEZ492" s="106"/>
      <c r="MFA492" s="106"/>
      <c r="MFB492" s="106"/>
      <c r="MFC492" s="106"/>
      <c r="MFD492" s="106"/>
      <c r="MFE492" s="106"/>
      <c r="MFF492" s="106"/>
      <c r="MFG492" s="106"/>
      <c r="MFH492" s="106"/>
      <c r="MFI492" s="106"/>
      <c r="MFJ492" s="106"/>
      <c r="MFK492" s="106"/>
      <c r="MFL492" s="106"/>
      <c r="MFM492" s="106"/>
      <c r="MFN492" s="106"/>
      <c r="MFO492" s="106"/>
      <c r="MFP492" s="106"/>
      <c r="MFQ492" s="106"/>
      <c r="MFR492" s="106"/>
      <c r="MFS492" s="106"/>
      <c r="MFT492" s="106"/>
      <c r="MFU492" s="106"/>
      <c r="MFV492" s="106"/>
      <c r="MFW492" s="106"/>
      <c r="MFX492" s="106"/>
      <c r="MFY492" s="106"/>
      <c r="MFZ492" s="106"/>
      <c r="MGA492" s="106"/>
      <c r="MGB492" s="106"/>
      <c r="MGC492" s="106"/>
      <c r="MGD492" s="106"/>
      <c r="MGE492" s="106"/>
      <c r="MGF492" s="106"/>
      <c r="MGG492" s="106"/>
      <c r="MGH492" s="106"/>
      <c r="MGI492" s="106"/>
      <c r="MGJ492" s="106"/>
      <c r="MGK492" s="106"/>
      <c r="MGL492" s="106"/>
      <c r="MGM492" s="106"/>
      <c r="MGN492" s="106"/>
      <c r="MGO492" s="106"/>
      <c r="MGP492" s="106"/>
      <c r="MGQ492" s="106"/>
      <c r="MGR492" s="106"/>
      <c r="MGS492" s="106"/>
      <c r="MGT492" s="106"/>
      <c r="MGU492" s="106"/>
      <c r="MGV492" s="106"/>
      <c r="MGW492" s="106"/>
      <c r="MGX492" s="106"/>
      <c r="MGY492" s="106"/>
      <c r="MGZ492" s="106"/>
      <c r="MHA492" s="106"/>
      <c r="MHB492" s="106"/>
      <c r="MHC492" s="106"/>
      <c r="MHD492" s="106"/>
      <c r="MHE492" s="106"/>
      <c r="MHF492" s="106"/>
      <c r="MHG492" s="106"/>
      <c r="MHH492" s="106"/>
      <c r="MHI492" s="106"/>
      <c r="MHJ492" s="106"/>
      <c r="MHK492" s="106"/>
      <c r="MHL492" s="106"/>
      <c r="MHM492" s="106"/>
      <c r="MHN492" s="106"/>
      <c r="MHO492" s="106"/>
      <c r="MHP492" s="106"/>
      <c r="MHQ492" s="106"/>
      <c r="MHR492" s="106"/>
      <c r="MHS492" s="106"/>
      <c r="MHT492" s="106"/>
      <c r="MHU492" s="106"/>
      <c r="MHV492" s="106"/>
      <c r="MHW492" s="106"/>
      <c r="MHX492" s="106"/>
      <c r="MHY492" s="106"/>
      <c r="MHZ492" s="106"/>
      <c r="MIA492" s="106"/>
      <c r="MIB492" s="106"/>
      <c r="MIC492" s="106"/>
      <c r="MID492" s="106"/>
      <c r="MIE492" s="106"/>
      <c r="MIF492" s="106"/>
      <c r="MIG492" s="106"/>
      <c r="MIH492" s="106"/>
      <c r="MII492" s="106"/>
      <c r="MIJ492" s="106"/>
      <c r="MIK492" s="106"/>
      <c r="MIL492" s="106"/>
      <c r="MIM492" s="106"/>
      <c r="MIN492" s="106"/>
      <c r="MIO492" s="106"/>
      <c r="MIP492" s="106"/>
      <c r="MIQ492" s="106"/>
      <c r="MIR492" s="106"/>
      <c r="MIS492" s="106"/>
      <c r="MIT492" s="106"/>
      <c r="MIU492" s="106"/>
      <c r="MIV492" s="106"/>
      <c r="MIW492" s="106"/>
      <c r="MIX492" s="106"/>
      <c r="MIY492" s="106"/>
      <c r="MIZ492" s="106"/>
      <c r="MJA492" s="106"/>
      <c r="MJB492" s="106"/>
      <c r="MJC492" s="106"/>
      <c r="MJD492" s="106"/>
      <c r="MJE492" s="106"/>
      <c r="MJF492" s="106"/>
      <c r="MJG492" s="106"/>
      <c r="MJH492" s="106"/>
      <c r="MJI492" s="106"/>
      <c r="MJJ492" s="106"/>
      <c r="MJK492" s="106"/>
      <c r="MJL492" s="106"/>
      <c r="MJM492" s="106"/>
      <c r="MJN492" s="106"/>
      <c r="MJO492" s="106"/>
      <c r="MJP492" s="106"/>
      <c r="MJQ492" s="106"/>
      <c r="MJR492" s="106"/>
      <c r="MJS492" s="106"/>
      <c r="MJT492" s="106"/>
      <c r="MJU492" s="106"/>
      <c r="MJV492" s="106"/>
      <c r="MJW492" s="106"/>
      <c r="MJX492" s="106"/>
      <c r="MJY492" s="106"/>
      <c r="MJZ492" s="106"/>
      <c r="MKA492" s="106"/>
      <c r="MKB492" s="106"/>
      <c r="MKC492" s="106"/>
      <c r="MKD492" s="106"/>
      <c r="MKE492" s="106"/>
      <c r="MKF492" s="106"/>
      <c r="MKG492" s="106"/>
      <c r="MKH492" s="106"/>
      <c r="MKI492" s="106"/>
      <c r="MKJ492" s="106"/>
      <c r="MKK492" s="106"/>
      <c r="MKL492" s="106"/>
      <c r="MKM492" s="106"/>
      <c r="MKN492" s="106"/>
      <c r="MKO492" s="106"/>
      <c r="MKP492" s="106"/>
      <c r="MKQ492" s="106"/>
      <c r="MKR492" s="106"/>
      <c r="MKS492" s="106"/>
      <c r="MKT492" s="106"/>
      <c r="MKU492" s="106"/>
      <c r="MKV492" s="106"/>
      <c r="MKW492" s="106"/>
      <c r="MKX492" s="106"/>
      <c r="MKY492" s="106"/>
      <c r="MKZ492" s="106"/>
      <c r="MLA492" s="106"/>
      <c r="MLB492" s="106"/>
      <c r="MLC492" s="106"/>
      <c r="MLD492" s="106"/>
      <c r="MLE492" s="106"/>
      <c r="MLF492" s="106"/>
      <c r="MLG492" s="106"/>
      <c r="MLH492" s="106"/>
      <c r="MLI492" s="106"/>
      <c r="MLJ492" s="106"/>
      <c r="MLK492" s="106"/>
      <c r="MLL492" s="106"/>
      <c r="MLM492" s="106"/>
      <c r="MLN492" s="106"/>
      <c r="MLO492" s="106"/>
      <c r="MLP492" s="106"/>
      <c r="MLQ492" s="106"/>
      <c r="MLR492" s="106"/>
      <c r="MLS492" s="106"/>
      <c r="MLT492" s="106"/>
      <c r="MLU492" s="106"/>
      <c r="MLV492" s="106"/>
      <c r="MLW492" s="106"/>
      <c r="MLX492" s="106"/>
      <c r="MLY492" s="106"/>
      <c r="MLZ492" s="106"/>
      <c r="MMA492" s="106"/>
      <c r="MMB492" s="106"/>
      <c r="MMC492" s="106"/>
      <c r="MMD492" s="106"/>
      <c r="MME492" s="106"/>
      <c r="MMF492" s="106"/>
      <c r="MMG492" s="106"/>
      <c r="MMH492" s="106"/>
      <c r="MMI492" s="106"/>
      <c r="MMJ492" s="106"/>
      <c r="MMK492" s="106"/>
      <c r="MML492" s="106"/>
      <c r="MMM492" s="106"/>
      <c r="MMN492" s="106"/>
      <c r="MMO492" s="106"/>
      <c r="MMP492" s="106"/>
      <c r="MMQ492" s="106"/>
      <c r="MMR492" s="106"/>
      <c r="MMS492" s="106"/>
      <c r="MMT492" s="106"/>
      <c r="MMU492" s="106"/>
      <c r="MMV492" s="106"/>
      <c r="MMW492" s="106"/>
      <c r="MMX492" s="106"/>
      <c r="MMY492" s="106"/>
      <c r="MMZ492" s="106"/>
      <c r="MNA492" s="106"/>
      <c r="MNB492" s="106"/>
      <c r="MNC492" s="106"/>
      <c r="MND492" s="106"/>
      <c r="MNE492" s="106"/>
      <c r="MNF492" s="106"/>
      <c r="MNG492" s="106"/>
      <c r="MNH492" s="106"/>
      <c r="MNI492" s="106"/>
      <c r="MNJ492" s="106"/>
      <c r="MNK492" s="106"/>
      <c r="MNL492" s="106"/>
      <c r="MNM492" s="106"/>
      <c r="MNN492" s="106"/>
      <c r="MNO492" s="106"/>
      <c r="MNP492" s="106"/>
      <c r="MNQ492" s="106"/>
      <c r="MNR492" s="106"/>
      <c r="MNS492" s="106"/>
      <c r="MNT492" s="106"/>
      <c r="MNU492" s="106"/>
      <c r="MNV492" s="106"/>
      <c r="MNW492" s="106"/>
      <c r="MNX492" s="106"/>
      <c r="MNY492" s="106"/>
      <c r="MNZ492" s="106"/>
      <c r="MOA492" s="106"/>
      <c r="MOB492" s="106"/>
      <c r="MOC492" s="106"/>
      <c r="MOD492" s="106"/>
      <c r="MOE492" s="106"/>
      <c r="MOF492" s="106"/>
      <c r="MOG492" s="106"/>
      <c r="MOH492" s="106"/>
      <c r="MOI492" s="106"/>
      <c r="MOJ492" s="106"/>
      <c r="MOK492" s="106"/>
      <c r="MOL492" s="106"/>
      <c r="MOM492" s="106"/>
      <c r="MON492" s="106"/>
      <c r="MOO492" s="106"/>
      <c r="MOP492" s="106"/>
      <c r="MOQ492" s="106"/>
      <c r="MOR492" s="106"/>
      <c r="MOS492" s="106"/>
      <c r="MOT492" s="106"/>
      <c r="MOU492" s="106"/>
      <c r="MOV492" s="106"/>
      <c r="MOW492" s="106"/>
      <c r="MOX492" s="106"/>
      <c r="MOY492" s="106"/>
      <c r="MOZ492" s="106"/>
      <c r="MPA492" s="106"/>
      <c r="MPB492" s="106"/>
      <c r="MPC492" s="106"/>
      <c r="MPD492" s="106"/>
      <c r="MPE492" s="106"/>
      <c r="MPF492" s="106"/>
      <c r="MPG492" s="106"/>
      <c r="MPH492" s="106"/>
      <c r="MPI492" s="106"/>
      <c r="MPJ492" s="106"/>
      <c r="MPK492" s="106"/>
      <c r="MPL492" s="106"/>
      <c r="MPM492" s="106"/>
      <c r="MPN492" s="106"/>
      <c r="MPO492" s="106"/>
      <c r="MPP492" s="106"/>
      <c r="MPQ492" s="106"/>
      <c r="MPR492" s="106"/>
      <c r="MPS492" s="106"/>
      <c r="MPT492" s="106"/>
      <c r="MPU492" s="106"/>
      <c r="MPV492" s="106"/>
      <c r="MPW492" s="106"/>
      <c r="MPX492" s="106"/>
      <c r="MPY492" s="106"/>
      <c r="MPZ492" s="106"/>
      <c r="MQA492" s="106"/>
      <c r="MQB492" s="106"/>
      <c r="MQC492" s="106"/>
      <c r="MQD492" s="106"/>
      <c r="MQE492" s="106"/>
      <c r="MQF492" s="106"/>
      <c r="MQG492" s="106"/>
      <c r="MQH492" s="106"/>
      <c r="MQI492" s="106"/>
      <c r="MQJ492" s="106"/>
      <c r="MQK492" s="106"/>
      <c r="MQL492" s="106"/>
      <c r="MQM492" s="106"/>
      <c r="MQN492" s="106"/>
      <c r="MQO492" s="106"/>
      <c r="MQP492" s="106"/>
      <c r="MQQ492" s="106"/>
      <c r="MQR492" s="106"/>
      <c r="MQS492" s="106"/>
      <c r="MQT492" s="106"/>
      <c r="MQU492" s="106"/>
      <c r="MQV492" s="106"/>
      <c r="MQW492" s="106"/>
      <c r="MQX492" s="106"/>
      <c r="MQY492" s="106"/>
      <c r="MQZ492" s="106"/>
      <c r="MRA492" s="106"/>
      <c r="MRB492" s="106"/>
      <c r="MRC492" s="106"/>
      <c r="MRD492" s="106"/>
      <c r="MRE492" s="106"/>
      <c r="MRF492" s="106"/>
      <c r="MRG492" s="106"/>
      <c r="MRH492" s="106"/>
      <c r="MRI492" s="106"/>
      <c r="MRJ492" s="106"/>
      <c r="MRK492" s="106"/>
      <c r="MRL492" s="106"/>
      <c r="MRM492" s="106"/>
      <c r="MRN492" s="106"/>
      <c r="MRO492" s="106"/>
      <c r="MRP492" s="106"/>
      <c r="MRQ492" s="106"/>
      <c r="MRR492" s="106"/>
      <c r="MRS492" s="106"/>
      <c r="MRT492" s="106"/>
      <c r="MRU492" s="106"/>
      <c r="MRV492" s="106"/>
      <c r="MRW492" s="106"/>
      <c r="MRX492" s="106"/>
      <c r="MRY492" s="106"/>
      <c r="MRZ492" s="106"/>
      <c r="MSA492" s="106"/>
      <c r="MSB492" s="106"/>
      <c r="MSC492" s="106"/>
      <c r="MSD492" s="106"/>
      <c r="MSE492" s="106"/>
      <c r="MSF492" s="106"/>
      <c r="MSG492" s="106"/>
      <c r="MSH492" s="106"/>
      <c r="MSI492" s="106"/>
      <c r="MSJ492" s="106"/>
      <c r="MSK492" s="106"/>
      <c r="MSL492" s="106"/>
      <c r="MSM492" s="106"/>
      <c r="MSN492" s="106"/>
      <c r="MSO492" s="106"/>
      <c r="MSP492" s="106"/>
      <c r="MSQ492" s="106"/>
      <c r="MSR492" s="106"/>
      <c r="MSS492" s="106"/>
      <c r="MST492" s="106"/>
      <c r="MSU492" s="106"/>
      <c r="MSV492" s="106"/>
      <c r="MSW492" s="106"/>
      <c r="MSX492" s="106"/>
      <c r="MSY492" s="106"/>
      <c r="MSZ492" s="106"/>
      <c r="MTA492" s="106"/>
      <c r="MTB492" s="106"/>
      <c r="MTC492" s="106"/>
      <c r="MTD492" s="106"/>
      <c r="MTE492" s="106"/>
      <c r="MTF492" s="106"/>
      <c r="MTG492" s="106"/>
      <c r="MTH492" s="106"/>
      <c r="MTI492" s="106"/>
      <c r="MTJ492" s="106"/>
      <c r="MTK492" s="106"/>
      <c r="MTL492" s="106"/>
      <c r="MTM492" s="106"/>
      <c r="MTN492" s="106"/>
      <c r="MTO492" s="106"/>
      <c r="MTP492" s="106"/>
      <c r="MTQ492" s="106"/>
      <c r="MTR492" s="106"/>
      <c r="MTS492" s="106"/>
      <c r="MTT492" s="106"/>
      <c r="MTU492" s="106"/>
      <c r="MTV492" s="106"/>
      <c r="MTW492" s="106"/>
      <c r="MTX492" s="106"/>
      <c r="MTY492" s="106"/>
      <c r="MTZ492" s="106"/>
      <c r="MUA492" s="106"/>
      <c r="MUB492" s="106"/>
      <c r="MUC492" s="106"/>
      <c r="MUD492" s="106"/>
      <c r="MUE492" s="106"/>
      <c r="MUF492" s="106"/>
      <c r="MUG492" s="106"/>
      <c r="MUH492" s="106"/>
      <c r="MUI492" s="106"/>
      <c r="MUJ492" s="106"/>
      <c r="MUK492" s="106"/>
      <c r="MUL492" s="106"/>
      <c r="MUM492" s="106"/>
      <c r="MUN492" s="106"/>
      <c r="MUO492" s="106"/>
      <c r="MUP492" s="106"/>
      <c r="MUQ492" s="106"/>
      <c r="MUR492" s="106"/>
      <c r="MUS492" s="106"/>
      <c r="MUT492" s="106"/>
      <c r="MUU492" s="106"/>
      <c r="MUV492" s="106"/>
      <c r="MUW492" s="106"/>
      <c r="MUX492" s="106"/>
      <c r="MUY492" s="106"/>
      <c r="MUZ492" s="106"/>
      <c r="MVA492" s="106"/>
      <c r="MVB492" s="106"/>
      <c r="MVC492" s="106"/>
      <c r="MVD492" s="106"/>
      <c r="MVE492" s="106"/>
      <c r="MVF492" s="106"/>
      <c r="MVG492" s="106"/>
      <c r="MVH492" s="106"/>
      <c r="MVI492" s="106"/>
      <c r="MVJ492" s="106"/>
      <c r="MVK492" s="106"/>
      <c r="MVL492" s="106"/>
      <c r="MVM492" s="106"/>
      <c r="MVN492" s="106"/>
      <c r="MVO492" s="106"/>
      <c r="MVP492" s="106"/>
      <c r="MVQ492" s="106"/>
      <c r="MVR492" s="106"/>
      <c r="MVS492" s="106"/>
      <c r="MVT492" s="106"/>
      <c r="MVU492" s="106"/>
      <c r="MVV492" s="106"/>
      <c r="MVW492" s="106"/>
      <c r="MVX492" s="106"/>
      <c r="MVY492" s="106"/>
      <c r="MVZ492" s="106"/>
      <c r="MWA492" s="106"/>
      <c r="MWB492" s="106"/>
      <c r="MWC492" s="106"/>
      <c r="MWD492" s="106"/>
      <c r="MWE492" s="106"/>
      <c r="MWF492" s="106"/>
      <c r="MWG492" s="106"/>
      <c r="MWH492" s="106"/>
      <c r="MWI492" s="106"/>
      <c r="MWJ492" s="106"/>
      <c r="MWK492" s="106"/>
      <c r="MWL492" s="106"/>
      <c r="MWM492" s="106"/>
      <c r="MWN492" s="106"/>
      <c r="MWO492" s="106"/>
      <c r="MWP492" s="106"/>
      <c r="MWQ492" s="106"/>
      <c r="MWR492" s="106"/>
      <c r="MWS492" s="106"/>
      <c r="MWT492" s="106"/>
      <c r="MWU492" s="106"/>
      <c r="MWV492" s="106"/>
      <c r="MWW492" s="106"/>
      <c r="MWX492" s="106"/>
      <c r="MWY492" s="106"/>
      <c r="MWZ492" s="106"/>
      <c r="MXA492" s="106"/>
      <c r="MXB492" s="106"/>
      <c r="MXC492" s="106"/>
      <c r="MXD492" s="106"/>
      <c r="MXE492" s="106"/>
      <c r="MXF492" s="106"/>
      <c r="MXG492" s="106"/>
      <c r="MXH492" s="106"/>
      <c r="MXI492" s="106"/>
      <c r="MXJ492" s="106"/>
      <c r="MXK492" s="106"/>
      <c r="MXL492" s="106"/>
      <c r="MXM492" s="106"/>
      <c r="MXN492" s="106"/>
      <c r="MXO492" s="106"/>
      <c r="MXP492" s="106"/>
      <c r="MXQ492" s="106"/>
      <c r="MXR492" s="106"/>
      <c r="MXS492" s="106"/>
      <c r="MXT492" s="106"/>
      <c r="MXU492" s="106"/>
      <c r="MXV492" s="106"/>
      <c r="MXW492" s="106"/>
      <c r="MXX492" s="106"/>
      <c r="MXY492" s="106"/>
      <c r="MXZ492" s="106"/>
      <c r="MYA492" s="106"/>
      <c r="MYB492" s="106"/>
      <c r="MYC492" s="106"/>
      <c r="MYD492" s="106"/>
      <c r="MYE492" s="106"/>
      <c r="MYF492" s="106"/>
      <c r="MYG492" s="106"/>
      <c r="MYH492" s="106"/>
      <c r="MYI492" s="106"/>
      <c r="MYJ492" s="106"/>
      <c r="MYK492" s="106"/>
      <c r="MYL492" s="106"/>
      <c r="MYM492" s="106"/>
      <c r="MYN492" s="106"/>
      <c r="MYO492" s="106"/>
      <c r="MYP492" s="106"/>
      <c r="MYQ492" s="106"/>
      <c r="MYR492" s="106"/>
      <c r="MYS492" s="106"/>
      <c r="MYT492" s="106"/>
      <c r="MYU492" s="106"/>
      <c r="MYV492" s="106"/>
      <c r="MYW492" s="106"/>
      <c r="MYX492" s="106"/>
      <c r="MYY492" s="106"/>
      <c r="MYZ492" s="106"/>
      <c r="MZA492" s="106"/>
      <c r="MZB492" s="106"/>
      <c r="MZC492" s="106"/>
      <c r="MZD492" s="106"/>
      <c r="MZE492" s="106"/>
      <c r="MZF492" s="106"/>
      <c r="MZG492" s="106"/>
      <c r="MZH492" s="106"/>
      <c r="MZI492" s="106"/>
      <c r="MZJ492" s="106"/>
      <c r="MZK492" s="106"/>
      <c r="MZL492" s="106"/>
      <c r="MZM492" s="106"/>
      <c r="MZN492" s="106"/>
      <c r="MZO492" s="106"/>
      <c r="MZP492" s="106"/>
      <c r="MZQ492" s="106"/>
      <c r="MZR492" s="106"/>
      <c r="MZS492" s="106"/>
      <c r="MZT492" s="106"/>
      <c r="MZU492" s="106"/>
      <c r="MZV492" s="106"/>
      <c r="MZW492" s="106"/>
      <c r="MZX492" s="106"/>
      <c r="MZY492" s="106"/>
      <c r="MZZ492" s="106"/>
      <c r="NAA492" s="106"/>
      <c r="NAB492" s="106"/>
      <c r="NAC492" s="106"/>
      <c r="NAD492" s="106"/>
      <c r="NAE492" s="106"/>
      <c r="NAF492" s="106"/>
      <c r="NAG492" s="106"/>
      <c r="NAH492" s="106"/>
      <c r="NAI492" s="106"/>
      <c r="NAJ492" s="106"/>
      <c r="NAK492" s="106"/>
      <c r="NAL492" s="106"/>
      <c r="NAM492" s="106"/>
      <c r="NAN492" s="106"/>
      <c r="NAO492" s="106"/>
      <c r="NAP492" s="106"/>
      <c r="NAQ492" s="106"/>
      <c r="NAR492" s="106"/>
      <c r="NAS492" s="106"/>
      <c r="NAT492" s="106"/>
      <c r="NAU492" s="106"/>
      <c r="NAV492" s="106"/>
      <c r="NAW492" s="106"/>
      <c r="NAX492" s="106"/>
      <c r="NAY492" s="106"/>
      <c r="NAZ492" s="106"/>
      <c r="NBA492" s="106"/>
      <c r="NBB492" s="106"/>
      <c r="NBC492" s="106"/>
      <c r="NBD492" s="106"/>
      <c r="NBE492" s="106"/>
      <c r="NBF492" s="106"/>
      <c r="NBG492" s="106"/>
      <c r="NBH492" s="106"/>
      <c r="NBI492" s="106"/>
      <c r="NBJ492" s="106"/>
      <c r="NBK492" s="106"/>
      <c r="NBL492" s="106"/>
      <c r="NBM492" s="106"/>
      <c r="NBN492" s="106"/>
      <c r="NBO492" s="106"/>
      <c r="NBP492" s="106"/>
      <c r="NBQ492" s="106"/>
      <c r="NBR492" s="106"/>
      <c r="NBS492" s="106"/>
      <c r="NBT492" s="106"/>
      <c r="NBU492" s="106"/>
      <c r="NBV492" s="106"/>
      <c r="NBW492" s="106"/>
      <c r="NBX492" s="106"/>
      <c r="NBY492" s="106"/>
      <c r="NBZ492" s="106"/>
      <c r="NCA492" s="106"/>
      <c r="NCB492" s="106"/>
      <c r="NCC492" s="106"/>
      <c r="NCD492" s="106"/>
      <c r="NCE492" s="106"/>
      <c r="NCF492" s="106"/>
      <c r="NCG492" s="106"/>
      <c r="NCH492" s="106"/>
      <c r="NCI492" s="106"/>
      <c r="NCJ492" s="106"/>
      <c r="NCK492" s="106"/>
      <c r="NCL492" s="106"/>
      <c r="NCM492" s="106"/>
      <c r="NCN492" s="106"/>
      <c r="NCO492" s="106"/>
      <c r="NCP492" s="106"/>
      <c r="NCQ492" s="106"/>
      <c r="NCR492" s="106"/>
      <c r="NCS492" s="106"/>
      <c r="NCT492" s="106"/>
      <c r="NCU492" s="106"/>
      <c r="NCV492" s="106"/>
      <c r="NCW492" s="106"/>
      <c r="NCX492" s="106"/>
      <c r="NCY492" s="106"/>
      <c r="NCZ492" s="106"/>
      <c r="NDA492" s="106"/>
      <c r="NDB492" s="106"/>
      <c r="NDC492" s="106"/>
      <c r="NDD492" s="106"/>
      <c r="NDE492" s="106"/>
      <c r="NDF492" s="106"/>
      <c r="NDG492" s="106"/>
      <c r="NDH492" s="106"/>
      <c r="NDI492" s="106"/>
      <c r="NDJ492" s="106"/>
      <c r="NDK492" s="106"/>
      <c r="NDL492" s="106"/>
      <c r="NDM492" s="106"/>
      <c r="NDN492" s="106"/>
      <c r="NDO492" s="106"/>
      <c r="NDP492" s="106"/>
      <c r="NDQ492" s="106"/>
      <c r="NDR492" s="106"/>
      <c r="NDS492" s="106"/>
      <c r="NDT492" s="106"/>
      <c r="NDU492" s="106"/>
      <c r="NDV492" s="106"/>
      <c r="NDW492" s="106"/>
      <c r="NDX492" s="106"/>
      <c r="NDY492" s="106"/>
      <c r="NDZ492" s="106"/>
      <c r="NEA492" s="106"/>
      <c r="NEB492" s="106"/>
      <c r="NEC492" s="106"/>
      <c r="NED492" s="106"/>
      <c r="NEE492" s="106"/>
      <c r="NEF492" s="106"/>
      <c r="NEG492" s="106"/>
      <c r="NEH492" s="106"/>
      <c r="NEI492" s="106"/>
      <c r="NEJ492" s="106"/>
      <c r="NEK492" s="106"/>
      <c r="NEL492" s="106"/>
      <c r="NEM492" s="106"/>
      <c r="NEN492" s="106"/>
      <c r="NEO492" s="106"/>
      <c r="NEP492" s="106"/>
      <c r="NEQ492" s="106"/>
      <c r="NER492" s="106"/>
      <c r="NES492" s="106"/>
      <c r="NET492" s="106"/>
      <c r="NEU492" s="106"/>
      <c r="NEV492" s="106"/>
      <c r="NEW492" s="106"/>
      <c r="NEX492" s="106"/>
      <c r="NEY492" s="106"/>
      <c r="NEZ492" s="106"/>
      <c r="NFA492" s="106"/>
      <c r="NFB492" s="106"/>
      <c r="NFC492" s="106"/>
      <c r="NFD492" s="106"/>
      <c r="NFE492" s="106"/>
      <c r="NFF492" s="106"/>
      <c r="NFG492" s="106"/>
      <c r="NFH492" s="106"/>
      <c r="NFI492" s="106"/>
      <c r="NFJ492" s="106"/>
      <c r="NFK492" s="106"/>
      <c r="NFL492" s="106"/>
      <c r="NFM492" s="106"/>
      <c r="NFN492" s="106"/>
      <c r="NFO492" s="106"/>
      <c r="NFP492" s="106"/>
      <c r="NFQ492" s="106"/>
      <c r="NFR492" s="106"/>
      <c r="NFS492" s="106"/>
      <c r="NFT492" s="106"/>
      <c r="NFU492" s="106"/>
      <c r="NFV492" s="106"/>
      <c r="NFW492" s="106"/>
      <c r="NFX492" s="106"/>
      <c r="NFY492" s="106"/>
      <c r="NFZ492" s="106"/>
      <c r="NGA492" s="106"/>
      <c r="NGB492" s="106"/>
      <c r="NGC492" s="106"/>
      <c r="NGD492" s="106"/>
      <c r="NGE492" s="106"/>
      <c r="NGF492" s="106"/>
      <c r="NGG492" s="106"/>
      <c r="NGH492" s="106"/>
      <c r="NGI492" s="106"/>
      <c r="NGJ492" s="106"/>
      <c r="NGK492" s="106"/>
      <c r="NGL492" s="106"/>
      <c r="NGM492" s="106"/>
      <c r="NGN492" s="106"/>
      <c r="NGO492" s="106"/>
      <c r="NGP492" s="106"/>
      <c r="NGQ492" s="106"/>
      <c r="NGR492" s="106"/>
      <c r="NGS492" s="106"/>
      <c r="NGT492" s="106"/>
      <c r="NGU492" s="106"/>
      <c r="NGV492" s="106"/>
      <c r="NGW492" s="106"/>
      <c r="NGX492" s="106"/>
      <c r="NGY492" s="106"/>
      <c r="NGZ492" s="106"/>
      <c r="NHA492" s="106"/>
      <c r="NHB492" s="106"/>
      <c r="NHC492" s="106"/>
      <c r="NHD492" s="106"/>
      <c r="NHE492" s="106"/>
      <c r="NHF492" s="106"/>
      <c r="NHG492" s="106"/>
      <c r="NHH492" s="106"/>
      <c r="NHI492" s="106"/>
      <c r="NHJ492" s="106"/>
      <c r="NHK492" s="106"/>
      <c r="NHL492" s="106"/>
      <c r="NHM492" s="106"/>
      <c r="NHN492" s="106"/>
      <c r="NHO492" s="106"/>
      <c r="NHP492" s="106"/>
      <c r="NHQ492" s="106"/>
      <c r="NHR492" s="106"/>
      <c r="NHS492" s="106"/>
      <c r="NHT492" s="106"/>
      <c r="NHU492" s="106"/>
      <c r="NHV492" s="106"/>
      <c r="NHW492" s="106"/>
      <c r="NHX492" s="106"/>
      <c r="NHY492" s="106"/>
      <c r="NHZ492" s="106"/>
      <c r="NIA492" s="106"/>
      <c r="NIB492" s="106"/>
      <c r="NIC492" s="106"/>
      <c r="NID492" s="106"/>
      <c r="NIE492" s="106"/>
      <c r="NIF492" s="106"/>
      <c r="NIG492" s="106"/>
      <c r="NIH492" s="106"/>
      <c r="NII492" s="106"/>
      <c r="NIJ492" s="106"/>
      <c r="NIK492" s="106"/>
      <c r="NIL492" s="106"/>
      <c r="NIM492" s="106"/>
      <c r="NIN492" s="106"/>
      <c r="NIO492" s="106"/>
      <c r="NIP492" s="106"/>
      <c r="NIQ492" s="106"/>
      <c r="NIR492" s="106"/>
      <c r="NIS492" s="106"/>
      <c r="NIT492" s="106"/>
      <c r="NIU492" s="106"/>
      <c r="NIV492" s="106"/>
      <c r="NIW492" s="106"/>
      <c r="NIX492" s="106"/>
      <c r="NIY492" s="106"/>
      <c r="NIZ492" s="106"/>
      <c r="NJA492" s="106"/>
      <c r="NJB492" s="106"/>
      <c r="NJC492" s="106"/>
      <c r="NJD492" s="106"/>
      <c r="NJE492" s="106"/>
      <c r="NJF492" s="106"/>
      <c r="NJG492" s="106"/>
      <c r="NJH492" s="106"/>
      <c r="NJI492" s="106"/>
      <c r="NJJ492" s="106"/>
      <c r="NJK492" s="106"/>
      <c r="NJL492" s="106"/>
      <c r="NJM492" s="106"/>
      <c r="NJN492" s="106"/>
      <c r="NJO492" s="106"/>
      <c r="NJP492" s="106"/>
      <c r="NJQ492" s="106"/>
      <c r="NJR492" s="106"/>
      <c r="NJS492" s="106"/>
      <c r="NJT492" s="106"/>
      <c r="NJU492" s="106"/>
      <c r="NJV492" s="106"/>
      <c r="NJW492" s="106"/>
      <c r="NJX492" s="106"/>
      <c r="NJY492" s="106"/>
      <c r="NJZ492" s="106"/>
      <c r="NKA492" s="106"/>
      <c r="NKB492" s="106"/>
      <c r="NKC492" s="106"/>
      <c r="NKD492" s="106"/>
      <c r="NKE492" s="106"/>
      <c r="NKF492" s="106"/>
      <c r="NKG492" s="106"/>
      <c r="NKH492" s="106"/>
      <c r="NKI492" s="106"/>
      <c r="NKJ492" s="106"/>
      <c r="NKK492" s="106"/>
      <c r="NKL492" s="106"/>
      <c r="NKM492" s="106"/>
      <c r="NKN492" s="106"/>
      <c r="NKO492" s="106"/>
      <c r="NKP492" s="106"/>
      <c r="NKQ492" s="106"/>
      <c r="NKR492" s="106"/>
      <c r="NKS492" s="106"/>
      <c r="NKT492" s="106"/>
      <c r="NKU492" s="106"/>
      <c r="NKV492" s="106"/>
      <c r="NKW492" s="106"/>
      <c r="NKX492" s="106"/>
      <c r="NKY492" s="106"/>
      <c r="NKZ492" s="106"/>
      <c r="NLA492" s="106"/>
      <c r="NLB492" s="106"/>
      <c r="NLC492" s="106"/>
      <c r="NLD492" s="106"/>
      <c r="NLE492" s="106"/>
      <c r="NLF492" s="106"/>
      <c r="NLG492" s="106"/>
      <c r="NLH492" s="106"/>
      <c r="NLI492" s="106"/>
      <c r="NLJ492" s="106"/>
      <c r="NLK492" s="106"/>
      <c r="NLL492" s="106"/>
      <c r="NLM492" s="106"/>
      <c r="NLN492" s="106"/>
      <c r="NLO492" s="106"/>
      <c r="NLP492" s="106"/>
      <c r="NLQ492" s="106"/>
      <c r="NLR492" s="106"/>
      <c r="NLS492" s="106"/>
      <c r="NLT492" s="106"/>
      <c r="NLU492" s="106"/>
      <c r="NLV492" s="106"/>
      <c r="NLW492" s="106"/>
      <c r="NLX492" s="106"/>
      <c r="NLY492" s="106"/>
      <c r="NLZ492" s="106"/>
      <c r="NMA492" s="106"/>
      <c r="NMB492" s="106"/>
      <c r="NMC492" s="106"/>
      <c r="NMD492" s="106"/>
      <c r="NME492" s="106"/>
      <c r="NMF492" s="106"/>
      <c r="NMG492" s="106"/>
      <c r="NMH492" s="106"/>
      <c r="NMI492" s="106"/>
      <c r="NMJ492" s="106"/>
      <c r="NMK492" s="106"/>
      <c r="NML492" s="106"/>
      <c r="NMM492" s="106"/>
      <c r="NMN492" s="106"/>
      <c r="NMO492" s="106"/>
      <c r="NMP492" s="106"/>
      <c r="NMQ492" s="106"/>
      <c r="NMR492" s="106"/>
      <c r="NMS492" s="106"/>
      <c r="NMT492" s="106"/>
      <c r="NMU492" s="106"/>
      <c r="NMV492" s="106"/>
      <c r="NMW492" s="106"/>
      <c r="NMX492" s="106"/>
      <c r="NMY492" s="106"/>
      <c r="NMZ492" s="106"/>
      <c r="NNA492" s="106"/>
      <c r="NNB492" s="106"/>
      <c r="NNC492" s="106"/>
      <c r="NND492" s="106"/>
      <c r="NNE492" s="106"/>
      <c r="NNF492" s="106"/>
      <c r="NNG492" s="106"/>
      <c r="NNH492" s="106"/>
      <c r="NNI492" s="106"/>
      <c r="NNJ492" s="106"/>
      <c r="NNK492" s="106"/>
      <c r="NNL492" s="106"/>
      <c r="NNM492" s="106"/>
      <c r="NNN492" s="106"/>
      <c r="NNO492" s="106"/>
      <c r="NNP492" s="106"/>
      <c r="NNQ492" s="106"/>
      <c r="NNR492" s="106"/>
      <c r="NNS492" s="106"/>
      <c r="NNT492" s="106"/>
      <c r="NNU492" s="106"/>
      <c r="NNV492" s="106"/>
      <c r="NNW492" s="106"/>
      <c r="NNX492" s="106"/>
      <c r="NNY492" s="106"/>
      <c r="NNZ492" s="106"/>
      <c r="NOA492" s="106"/>
      <c r="NOB492" s="106"/>
      <c r="NOC492" s="106"/>
      <c r="NOD492" s="106"/>
      <c r="NOE492" s="106"/>
      <c r="NOF492" s="106"/>
      <c r="NOG492" s="106"/>
      <c r="NOH492" s="106"/>
      <c r="NOI492" s="106"/>
      <c r="NOJ492" s="106"/>
      <c r="NOK492" s="106"/>
      <c r="NOL492" s="106"/>
      <c r="NOM492" s="106"/>
      <c r="NON492" s="106"/>
      <c r="NOO492" s="106"/>
      <c r="NOP492" s="106"/>
      <c r="NOQ492" s="106"/>
      <c r="NOR492" s="106"/>
      <c r="NOS492" s="106"/>
      <c r="NOT492" s="106"/>
      <c r="NOU492" s="106"/>
      <c r="NOV492" s="106"/>
      <c r="NOW492" s="106"/>
      <c r="NOX492" s="106"/>
      <c r="NOY492" s="106"/>
      <c r="NOZ492" s="106"/>
      <c r="NPA492" s="106"/>
      <c r="NPB492" s="106"/>
      <c r="NPC492" s="106"/>
      <c r="NPD492" s="106"/>
      <c r="NPE492" s="106"/>
      <c r="NPF492" s="106"/>
      <c r="NPG492" s="106"/>
      <c r="NPH492" s="106"/>
      <c r="NPI492" s="106"/>
      <c r="NPJ492" s="106"/>
      <c r="NPK492" s="106"/>
      <c r="NPL492" s="106"/>
      <c r="NPM492" s="106"/>
      <c r="NPN492" s="106"/>
      <c r="NPO492" s="106"/>
      <c r="NPP492" s="106"/>
      <c r="NPQ492" s="106"/>
      <c r="NPR492" s="106"/>
      <c r="NPS492" s="106"/>
      <c r="NPT492" s="106"/>
      <c r="NPU492" s="106"/>
      <c r="NPV492" s="106"/>
      <c r="NPW492" s="106"/>
      <c r="NPX492" s="106"/>
      <c r="NPY492" s="106"/>
      <c r="NPZ492" s="106"/>
      <c r="NQA492" s="106"/>
      <c r="NQB492" s="106"/>
      <c r="NQC492" s="106"/>
      <c r="NQD492" s="106"/>
      <c r="NQE492" s="106"/>
      <c r="NQF492" s="106"/>
      <c r="NQG492" s="106"/>
      <c r="NQH492" s="106"/>
      <c r="NQI492" s="106"/>
      <c r="NQJ492" s="106"/>
      <c r="NQK492" s="106"/>
      <c r="NQL492" s="106"/>
      <c r="NQM492" s="106"/>
      <c r="NQN492" s="106"/>
      <c r="NQO492" s="106"/>
      <c r="NQP492" s="106"/>
      <c r="NQQ492" s="106"/>
      <c r="NQR492" s="106"/>
      <c r="NQS492" s="106"/>
      <c r="NQT492" s="106"/>
      <c r="NQU492" s="106"/>
      <c r="NQV492" s="106"/>
      <c r="NQW492" s="106"/>
      <c r="NQX492" s="106"/>
      <c r="NQY492" s="106"/>
      <c r="NQZ492" s="106"/>
      <c r="NRA492" s="106"/>
      <c r="NRB492" s="106"/>
      <c r="NRC492" s="106"/>
      <c r="NRD492" s="106"/>
      <c r="NRE492" s="106"/>
      <c r="NRF492" s="106"/>
      <c r="NRG492" s="106"/>
      <c r="NRH492" s="106"/>
      <c r="NRI492" s="106"/>
      <c r="NRJ492" s="106"/>
      <c r="NRK492" s="106"/>
      <c r="NRL492" s="106"/>
      <c r="NRM492" s="106"/>
      <c r="NRN492" s="106"/>
      <c r="NRO492" s="106"/>
      <c r="NRP492" s="106"/>
      <c r="NRQ492" s="106"/>
      <c r="NRR492" s="106"/>
      <c r="NRS492" s="106"/>
      <c r="NRT492" s="106"/>
      <c r="NRU492" s="106"/>
      <c r="NRV492" s="106"/>
      <c r="NRW492" s="106"/>
      <c r="NRX492" s="106"/>
      <c r="NRY492" s="106"/>
      <c r="NRZ492" s="106"/>
      <c r="NSA492" s="106"/>
      <c r="NSB492" s="106"/>
      <c r="NSC492" s="106"/>
      <c r="NSD492" s="106"/>
      <c r="NSE492" s="106"/>
      <c r="NSF492" s="106"/>
      <c r="NSG492" s="106"/>
      <c r="NSH492" s="106"/>
      <c r="NSI492" s="106"/>
      <c r="NSJ492" s="106"/>
      <c r="NSK492" s="106"/>
      <c r="NSL492" s="106"/>
      <c r="NSM492" s="106"/>
      <c r="NSN492" s="106"/>
      <c r="NSO492" s="106"/>
      <c r="NSP492" s="106"/>
      <c r="NSQ492" s="106"/>
      <c r="NSR492" s="106"/>
      <c r="NSS492" s="106"/>
      <c r="NST492" s="106"/>
      <c r="NSU492" s="106"/>
      <c r="NSV492" s="106"/>
      <c r="NSW492" s="106"/>
      <c r="NSX492" s="106"/>
      <c r="NSY492" s="106"/>
      <c r="NSZ492" s="106"/>
      <c r="NTA492" s="106"/>
      <c r="NTB492" s="106"/>
      <c r="NTC492" s="106"/>
      <c r="NTD492" s="106"/>
      <c r="NTE492" s="106"/>
      <c r="NTF492" s="106"/>
      <c r="NTG492" s="106"/>
      <c r="NTH492" s="106"/>
      <c r="NTI492" s="106"/>
      <c r="NTJ492" s="106"/>
      <c r="NTK492" s="106"/>
      <c r="NTL492" s="106"/>
      <c r="NTM492" s="106"/>
      <c r="NTN492" s="106"/>
      <c r="NTO492" s="106"/>
      <c r="NTP492" s="106"/>
      <c r="NTQ492" s="106"/>
      <c r="NTR492" s="106"/>
      <c r="NTS492" s="106"/>
      <c r="NTT492" s="106"/>
      <c r="NTU492" s="106"/>
      <c r="NTV492" s="106"/>
      <c r="NTW492" s="106"/>
      <c r="NTX492" s="106"/>
      <c r="NTY492" s="106"/>
      <c r="NTZ492" s="106"/>
      <c r="NUA492" s="106"/>
      <c r="NUB492" s="106"/>
      <c r="NUC492" s="106"/>
      <c r="NUD492" s="106"/>
      <c r="NUE492" s="106"/>
      <c r="NUF492" s="106"/>
      <c r="NUG492" s="106"/>
      <c r="NUH492" s="106"/>
      <c r="NUI492" s="106"/>
      <c r="NUJ492" s="106"/>
      <c r="NUK492" s="106"/>
      <c r="NUL492" s="106"/>
      <c r="NUM492" s="106"/>
      <c r="NUN492" s="106"/>
      <c r="NUO492" s="106"/>
      <c r="NUP492" s="106"/>
      <c r="NUQ492" s="106"/>
      <c r="NUR492" s="106"/>
      <c r="NUS492" s="106"/>
      <c r="NUT492" s="106"/>
      <c r="NUU492" s="106"/>
      <c r="NUV492" s="106"/>
      <c r="NUW492" s="106"/>
      <c r="NUX492" s="106"/>
      <c r="NUY492" s="106"/>
      <c r="NUZ492" s="106"/>
      <c r="NVA492" s="106"/>
      <c r="NVB492" s="106"/>
      <c r="NVC492" s="106"/>
      <c r="NVD492" s="106"/>
      <c r="NVE492" s="106"/>
      <c r="NVF492" s="106"/>
      <c r="NVG492" s="106"/>
      <c r="NVH492" s="106"/>
      <c r="NVI492" s="106"/>
      <c r="NVJ492" s="106"/>
      <c r="NVK492" s="106"/>
      <c r="NVL492" s="106"/>
      <c r="NVM492" s="106"/>
      <c r="NVN492" s="106"/>
      <c r="NVO492" s="106"/>
      <c r="NVP492" s="106"/>
      <c r="NVQ492" s="106"/>
      <c r="NVR492" s="106"/>
      <c r="NVS492" s="106"/>
      <c r="NVT492" s="106"/>
      <c r="NVU492" s="106"/>
      <c r="NVV492" s="106"/>
      <c r="NVW492" s="106"/>
      <c r="NVX492" s="106"/>
      <c r="NVY492" s="106"/>
      <c r="NVZ492" s="106"/>
      <c r="NWA492" s="106"/>
      <c r="NWB492" s="106"/>
      <c r="NWC492" s="106"/>
      <c r="NWD492" s="106"/>
      <c r="NWE492" s="106"/>
      <c r="NWF492" s="106"/>
      <c r="NWG492" s="106"/>
      <c r="NWH492" s="106"/>
      <c r="NWI492" s="106"/>
      <c r="NWJ492" s="106"/>
      <c r="NWK492" s="106"/>
      <c r="NWL492" s="106"/>
      <c r="NWM492" s="106"/>
      <c r="NWN492" s="106"/>
      <c r="NWO492" s="106"/>
      <c r="NWP492" s="106"/>
      <c r="NWQ492" s="106"/>
      <c r="NWR492" s="106"/>
      <c r="NWS492" s="106"/>
      <c r="NWT492" s="106"/>
      <c r="NWU492" s="106"/>
      <c r="NWV492" s="106"/>
      <c r="NWW492" s="106"/>
      <c r="NWX492" s="106"/>
      <c r="NWY492" s="106"/>
      <c r="NWZ492" s="106"/>
      <c r="NXA492" s="106"/>
      <c r="NXB492" s="106"/>
      <c r="NXC492" s="106"/>
      <c r="NXD492" s="106"/>
      <c r="NXE492" s="106"/>
      <c r="NXF492" s="106"/>
      <c r="NXG492" s="106"/>
      <c r="NXH492" s="106"/>
      <c r="NXI492" s="106"/>
      <c r="NXJ492" s="106"/>
      <c r="NXK492" s="106"/>
      <c r="NXL492" s="106"/>
      <c r="NXM492" s="106"/>
      <c r="NXN492" s="106"/>
      <c r="NXO492" s="106"/>
      <c r="NXP492" s="106"/>
      <c r="NXQ492" s="106"/>
      <c r="NXR492" s="106"/>
      <c r="NXS492" s="106"/>
      <c r="NXT492" s="106"/>
      <c r="NXU492" s="106"/>
      <c r="NXV492" s="106"/>
      <c r="NXW492" s="106"/>
      <c r="NXX492" s="106"/>
      <c r="NXY492" s="106"/>
      <c r="NXZ492" s="106"/>
      <c r="NYA492" s="106"/>
      <c r="NYB492" s="106"/>
      <c r="NYC492" s="106"/>
      <c r="NYD492" s="106"/>
      <c r="NYE492" s="106"/>
      <c r="NYF492" s="106"/>
      <c r="NYG492" s="106"/>
      <c r="NYH492" s="106"/>
      <c r="NYI492" s="106"/>
      <c r="NYJ492" s="106"/>
      <c r="NYK492" s="106"/>
      <c r="NYL492" s="106"/>
      <c r="NYM492" s="106"/>
      <c r="NYN492" s="106"/>
      <c r="NYO492" s="106"/>
      <c r="NYP492" s="106"/>
      <c r="NYQ492" s="106"/>
      <c r="NYR492" s="106"/>
      <c r="NYS492" s="106"/>
      <c r="NYT492" s="106"/>
      <c r="NYU492" s="106"/>
      <c r="NYV492" s="106"/>
      <c r="NYW492" s="106"/>
      <c r="NYX492" s="106"/>
      <c r="NYY492" s="106"/>
      <c r="NYZ492" s="106"/>
      <c r="NZA492" s="106"/>
      <c r="NZB492" s="106"/>
      <c r="NZC492" s="106"/>
      <c r="NZD492" s="106"/>
      <c r="NZE492" s="106"/>
      <c r="NZF492" s="106"/>
      <c r="NZG492" s="106"/>
      <c r="NZH492" s="106"/>
      <c r="NZI492" s="106"/>
      <c r="NZJ492" s="106"/>
      <c r="NZK492" s="106"/>
      <c r="NZL492" s="106"/>
      <c r="NZM492" s="106"/>
      <c r="NZN492" s="106"/>
      <c r="NZO492" s="106"/>
      <c r="NZP492" s="106"/>
      <c r="NZQ492" s="106"/>
      <c r="NZR492" s="106"/>
      <c r="NZS492" s="106"/>
      <c r="NZT492" s="106"/>
      <c r="NZU492" s="106"/>
      <c r="NZV492" s="106"/>
      <c r="NZW492" s="106"/>
      <c r="NZX492" s="106"/>
      <c r="NZY492" s="106"/>
      <c r="NZZ492" s="106"/>
      <c r="OAA492" s="106"/>
      <c r="OAB492" s="106"/>
      <c r="OAC492" s="106"/>
      <c r="OAD492" s="106"/>
      <c r="OAE492" s="106"/>
      <c r="OAF492" s="106"/>
      <c r="OAG492" s="106"/>
      <c r="OAH492" s="106"/>
      <c r="OAI492" s="106"/>
      <c r="OAJ492" s="106"/>
      <c r="OAK492" s="106"/>
      <c r="OAL492" s="106"/>
      <c r="OAM492" s="106"/>
      <c r="OAN492" s="106"/>
      <c r="OAO492" s="106"/>
      <c r="OAP492" s="106"/>
      <c r="OAQ492" s="106"/>
      <c r="OAR492" s="106"/>
      <c r="OAS492" s="106"/>
      <c r="OAT492" s="106"/>
      <c r="OAU492" s="106"/>
      <c r="OAV492" s="106"/>
      <c r="OAW492" s="106"/>
      <c r="OAX492" s="106"/>
      <c r="OAY492" s="106"/>
      <c r="OAZ492" s="106"/>
      <c r="OBA492" s="106"/>
      <c r="OBB492" s="106"/>
      <c r="OBC492" s="106"/>
      <c r="OBD492" s="106"/>
      <c r="OBE492" s="106"/>
      <c r="OBF492" s="106"/>
      <c r="OBG492" s="106"/>
      <c r="OBH492" s="106"/>
      <c r="OBI492" s="106"/>
      <c r="OBJ492" s="106"/>
      <c r="OBK492" s="106"/>
      <c r="OBL492" s="106"/>
      <c r="OBM492" s="106"/>
      <c r="OBN492" s="106"/>
      <c r="OBO492" s="106"/>
      <c r="OBP492" s="106"/>
      <c r="OBQ492" s="106"/>
      <c r="OBR492" s="106"/>
      <c r="OBS492" s="106"/>
      <c r="OBT492" s="106"/>
      <c r="OBU492" s="106"/>
      <c r="OBV492" s="106"/>
      <c r="OBW492" s="106"/>
      <c r="OBX492" s="106"/>
      <c r="OBY492" s="106"/>
      <c r="OBZ492" s="106"/>
      <c r="OCA492" s="106"/>
      <c r="OCB492" s="106"/>
      <c r="OCC492" s="106"/>
      <c r="OCD492" s="106"/>
      <c r="OCE492" s="106"/>
      <c r="OCF492" s="106"/>
      <c r="OCG492" s="106"/>
      <c r="OCH492" s="106"/>
      <c r="OCI492" s="106"/>
      <c r="OCJ492" s="106"/>
      <c r="OCK492" s="106"/>
      <c r="OCL492" s="106"/>
      <c r="OCM492" s="106"/>
      <c r="OCN492" s="106"/>
      <c r="OCO492" s="106"/>
      <c r="OCP492" s="106"/>
      <c r="OCQ492" s="106"/>
      <c r="OCR492" s="106"/>
      <c r="OCS492" s="106"/>
      <c r="OCT492" s="106"/>
      <c r="OCU492" s="106"/>
      <c r="OCV492" s="106"/>
      <c r="OCW492" s="106"/>
      <c r="OCX492" s="106"/>
      <c r="OCY492" s="106"/>
      <c r="OCZ492" s="106"/>
      <c r="ODA492" s="106"/>
      <c r="ODB492" s="106"/>
      <c r="ODC492" s="106"/>
      <c r="ODD492" s="106"/>
      <c r="ODE492" s="106"/>
      <c r="ODF492" s="106"/>
      <c r="ODG492" s="106"/>
      <c r="ODH492" s="106"/>
      <c r="ODI492" s="106"/>
      <c r="ODJ492" s="106"/>
      <c r="ODK492" s="106"/>
      <c r="ODL492" s="106"/>
      <c r="ODM492" s="106"/>
      <c r="ODN492" s="106"/>
      <c r="ODO492" s="106"/>
      <c r="ODP492" s="106"/>
      <c r="ODQ492" s="106"/>
      <c r="ODR492" s="106"/>
      <c r="ODS492" s="106"/>
      <c r="ODT492" s="106"/>
      <c r="ODU492" s="106"/>
      <c r="ODV492" s="106"/>
      <c r="ODW492" s="106"/>
      <c r="ODX492" s="106"/>
      <c r="ODY492" s="106"/>
      <c r="ODZ492" s="106"/>
      <c r="OEA492" s="106"/>
      <c r="OEB492" s="106"/>
      <c r="OEC492" s="106"/>
      <c r="OED492" s="106"/>
      <c r="OEE492" s="106"/>
      <c r="OEF492" s="106"/>
      <c r="OEG492" s="106"/>
      <c r="OEH492" s="106"/>
      <c r="OEI492" s="106"/>
      <c r="OEJ492" s="106"/>
      <c r="OEK492" s="106"/>
      <c r="OEL492" s="106"/>
      <c r="OEM492" s="106"/>
      <c r="OEN492" s="106"/>
      <c r="OEO492" s="106"/>
      <c r="OEP492" s="106"/>
      <c r="OEQ492" s="106"/>
      <c r="OER492" s="106"/>
      <c r="OES492" s="106"/>
      <c r="OET492" s="106"/>
      <c r="OEU492" s="106"/>
      <c r="OEV492" s="106"/>
      <c r="OEW492" s="106"/>
      <c r="OEX492" s="106"/>
      <c r="OEY492" s="106"/>
      <c r="OEZ492" s="106"/>
      <c r="OFA492" s="106"/>
      <c r="OFB492" s="106"/>
      <c r="OFC492" s="106"/>
      <c r="OFD492" s="106"/>
      <c r="OFE492" s="106"/>
      <c r="OFF492" s="106"/>
      <c r="OFG492" s="106"/>
      <c r="OFH492" s="106"/>
      <c r="OFI492" s="106"/>
      <c r="OFJ492" s="106"/>
      <c r="OFK492" s="106"/>
      <c r="OFL492" s="106"/>
      <c r="OFM492" s="106"/>
      <c r="OFN492" s="106"/>
      <c r="OFO492" s="106"/>
      <c r="OFP492" s="106"/>
      <c r="OFQ492" s="106"/>
      <c r="OFR492" s="106"/>
      <c r="OFS492" s="106"/>
      <c r="OFT492" s="106"/>
      <c r="OFU492" s="106"/>
      <c r="OFV492" s="106"/>
      <c r="OFW492" s="106"/>
      <c r="OFX492" s="106"/>
      <c r="OFY492" s="106"/>
      <c r="OFZ492" s="106"/>
      <c r="OGA492" s="106"/>
      <c r="OGB492" s="106"/>
      <c r="OGC492" s="106"/>
      <c r="OGD492" s="106"/>
      <c r="OGE492" s="106"/>
      <c r="OGF492" s="106"/>
      <c r="OGG492" s="106"/>
      <c r="OGH492" s="106"/>
      <c r="OGI492" s="106"/>
      <c r="OGJ492" s="106"/>
      <c r="OGK492" s="106"/>
      <c r="OGL492" s="106"/>
      <c r="OGM492" s="106"/>
      <c r="OGN492" s="106"/>
      <c r="OGO492" s="106"/>
      <c r="OGP492" s="106"/>
      <c r="OGQ492" s="106"/>
      <c r="OGR492" s="106"/>
      <c r="OGS492" s="106"/>
      <c r="OGT492" s="106"/>
      <c r="OGU492" s="106"/>
      <c r="OGV492" s="106"/>
      <c r="OGW492" s="106"/>
      <c r="OGX492" s="106"/>
      <c r="OGY492" s="106"/>
      <c r="OGZ492" s="106"/>
      <c r="OHA492" s="106"/>
      <c r="OHB492" s="106"/>
      <c r="OHC492" s="106"/>
      <c r="OHD492" s="106"/>
      <c r="OHE492" s="106"/>
      <c r="OHF492" s="106"/>
      <c r="OHG492" s="106"/>
      <c r="OHH492" s="106"/>
      <c r="OHI492" s="106"/>
      <c r="OHJ492" s="106"/>
      <c r="OHK492" s="106"/>
      <c r="OHL492" s="106"/>
      <c r="OHM492" s="106"/>
      <c r="OHN492" s="106"/>
      <c r="OHO492" s="106"/>
      <c r="OHP492" s="106"/>
      <c r="OHQ492" s="106"/>
      <c r="OHR492" s="106"/>
      <c r="OHS492" s="106"/>
      <c r="OHT492" s="106"/>
      <c r="OHU492" s="106"/>
      <c r="OHV492" s="106"/>
      <c r="OHW492" s="106"/>
      <c r="OHX492" s="106"/>
      <c r="OHY492" s="106"/>
      <c r="OHZ492" s="106"/>
      <c r="OIA492" s="106"/>
      <c r="OIB492" s="106"/>
      <c r="OIC492" s="106"/>
      <c r="OID492" s="106"/>
      <c r="OIE492" s="106"/>
      <c r="OIF492" s="106"/>
      <c r="OIG492" s="106"/>
      <c r="OIH492" s="106"/>
      <c r="OII492" s="106"/>
      <c r="OIJ492" s="106"/>
      <c r="OIK492" s="106"/>
      <c r="OIL492" s="106"/>
      <c r="OIM492" s="106"/>
      <c r="OIN492" s="106"/>
      <c r="OIO492" s="106"/>
      <c r="OIP492" s="106"/>
      <c r="OIQ492" s="106"/>
      <c r="OIR492" s="106"/>
      <c r="OIS492" s="106"/>
      <c r="OIT492" s="106"/>
      <c r="OIU492" s="106"/>
      <c r="OIV492" s="106"/>
      <c r="OIW492" s="106"/>
      <c r="OIX492" s="106"/>
      <c r="OIY492" s="106"/>
      <c r="OIZ492" s="106"/>
      <c r="OJA492" s="106"/>
      <c r="OJB492" s="106"/>
      <c r="OJC492" s="106"/>
      <c r="OJD492" s="106"/>
      <c r="OJE492" s="106"/>
      <c r="OJF492" s="106"/>
      <c r="OJG492" s="106"/>
      <c r="OJH492" s="106"/>
      <c r="OJI492" s="106"/>
      <c r="OJJ492" s="106"/>
      <c r="OJK492" s="106"/>
      <c r="OJL492" s="106"/>
      <c r="OJM492" s="106"/>
      <c r="OJN492" s="106"/>
      <c r="OJO492" s="106"/>
      <c r="OJP492" s="106"/>
      <c r="OJQ492" s="106"/>
      <c r="OJR492" s="106"/>
      <c r="OJS492" s="106"/>
      <c r="OJT492" s="106"/>
      <c r="OJU492" s="106"/>
      <c r="OJV492" s="106"/>
      <c r="OJW492" s="106"/>
      <c r="OJX492" s="106"/>
      <c r="OJY492" s="106"/>
      <c r="OJZ492" s="106"/>
      <c r="OKA492" s="106"/>
      <c r="OKB492" s="106"/>
      <c r="OKC492" s="106"/>
      <c r="OKD492" s="106"/>
      <c r="OKE492" s="106"/>
      <c r="OKF492" s="106"/>
      <c r="OKG492" s="106"/>
      <c r="OKH492" s="106"/>
      <c r="OKI492" s="106"/>
      <c r="OKJ492" s="106"/>
      <c r="OKK492" s="106"/>
      <c r="OKL492" s="106"/>
      <c r="OKM492" s="106"/>
      <c r="OKN492" s="106"/>
      <c r="OKO492" s="106"/>
      <c r="OKP492" s="106"/>
      <c r="OKQ492" s="106"/>
      <c r="OKR492" s="106"/>
      <c r="OKS492" s="106"/>
      <c r="OKT492" s="106"/>
      <c r="OKU492" s="106"/>
      <c r="OKV492" s="106"/>
      <c r="OKW492" s="106"/>
      <c r="OKX492" s="106"/>
      <c r="OKY492" s="106"/>
      <c r="OKZ492" s="106"/>
      <c r="OLA492" s="106"/>
      <c r="OLB492" s="106"/>
      <c r="OLC492" s="106"/>
      <c r="OLD492" s="106"/>
      <c r="OLE492" s="106"/>
      <c r="OLF492" s="106"/>
      <c r="OLG492" s="106"/>
      <c r="OLH492" s="106"/>
      <c r="OLI492" s="106"/>
      <c r="OLJ492" s="106"/>
      <c r="OLK492" s="106"/>
      <c r="OLL492" s="106"/>
      <c r="OLM492" s="106"/>
      <c r="OLN492" s="106"/>
      <c r="OLO492" s="106"/>
      <c r="OLP492" s="106"/>
      <c r="OLQ492" s="106"/>
      <c r="OLR492" s="106"/>
      <c r="OLS492" s="106"/>
      <c r="OLT492" s="106"/>
      <c r="OLU492" s="106"/>
      <c r="OLV492" s="106"/>
      <c r="OLW492" s="106"/>
      <c r="OLX492" s="106"/>
      <c r="OLY492" s="106"/>
      <c r="OLZ492" s="106"/>
      <c r="OMA492" s="106"/>
      <c r="OMB492" s="106"/>
      <c r="OMC492" s="106"/>
      <c r="OMD492" s="106"/>
      <c r="OME492" s="106"/>
      <c r="OMF492" s="106"/>
      <c r="OMG492" s="106"/>
      <c r="OMH492" s="106"/>
      <c r="OMI492" s="106"/>
      <c r="OMJ492" s="106"/>
      <c r="OMK492" s="106"/>
      <c r="OML492" s="106"/>
      <c r="OMM492" s="106"/>
      <c r="OMN492" s="106"/>
      <c r="OMO492" s="106"/>
      <c r="OMP492" s="106"/>
      <c r="OMQ492" s="106"/>
      <c r="OMR492" s="106"/>
      <c r="OMS492" s="106"/>
      <c r="OMT492" s="106"/>
      <c r="OMU492" s="106"/>
      <c r="OMV492" s="106"/>
      <c r="OMW492" s="106"/>
      <c r="OMX492" s="106"/>
      <c r="OMY492" s="106"/>
      <c r="OMZ492" s="106"/>
      <c r="ONA492" s="106"/>
      <c r="ONB492" s="106"/>
      <c r="ONC492" s="106"/>
      <c r="OND492" s="106"/>
      <c r="ONE492" s="106"/>
      <c r="ONF492" s="106"/>
      <c r="ONG492" s="106"/>
      <c r="ONH492" s="106"/>
      <c r="ONI492" s="106"/>
      <c r="ONJ492" s="106"/>
      <c r="ONK492" s="106"/>
      <c r="ONL492" s="106"/>
      <c r="ONM492" s="106"/>
      <c r="ONN492" s="106"/>
      <c r="ONO492" s="106"/>
      <c r="ONP492" s="106"/>
      <c r="ONQ492" s="106"/>
      <c r="ONR492" s="106"/>
      <c r="ONS492" s="106"/>
      <c r="ONT492" s="106"/>
      <c r="ONU492" s="106"/>
      <c r="ONV492" s="106"/>
      <c r="ONW492" s="106"/>
      <c r="ONX492" s="106"/>
      <c r="ONY492" s="106"/>
      <c r="ONZ492" s="106"/>
      <c r="OOA492" s="106"/>
      <c r="OOB492" s="106"/>
      <c r="OOC492" s="106"/>
      <c r="OOD492" s="106"/>
      <c r="OOE492" s="106"/>
      <c r="OOF492" s="106"/>
      <c r="OOG492" s="106"/>
      <c r="OOH492" s="106"/>
      <c r="OOI492" s="106"/>
      <c r="OOJ492" s="106"/>
      <c r="OOK492" s="106"/>
      <c r="OOL492" s="106"/>
      <c r="OOM492" s="106"/>
      <c r="OON492" s="106"/>
      <c r="OOO492" s="106"/>
      <c r="OOP492" s="106"/>
      <c r="OOQ492" s="106"/>
      <c r="OOR492" s="106"/>
      <c r="OOS492" s="106"/>
      <c r="OOT492" s="106"/>
      <c r="OOU492" s="106"/>
      <c r="OOV492" s="106"/>
      <c r="OOW492" s="106"/>
      <c r="OOX492" s="106"/>
      <c r="OOY492" s="106"/>
      <c r="OOZ492" s="106"/>
      <c r="OPA492" s="106"/>
      <c r="OPB492" s="106"/>
      <c r="OPC492" s="106"/>
      <c r="OPD492" s="106"/>
      <c r="OPE492" s="106"/>
      <c r="OPF492" s="106"/>
      <c r="OPG492" s="106"/>
      <c r="OPH492" s="106"/>
      <c r="OPI492" s="106"/>
      <c r="OPJ492" s="106"/>
      <c r="OPK492" s="106"/>
      <c r="OPL492" s="106"/>
      <c r="OPM492" s="106"/>
      <c r="OPN492" s="106"/>
      <c r="OPO492" s="106"/>
      <c r="OPP492" s="106"/>
      <c r="OPQ492" s="106"/>
      <c r="OPR492" s="106"/>
      <c r="OPS492" s="106"/>
      <c r="OPT492" s="106"/>
      <c r="OPU492" s="106"/>
      <c r="OPV492" s="106"/>
      <c r="OPW492" s="106"/>
      <c r="OPX492" s="106"/>
      <c r="OPY492" s="106"/>
      <c r="OPZ492" s="106"/>
      <c r="OQA492" s="106"/>
      <c r="OQB492" s="106"/>
      <c r="OQC492" s="106"/>
      <c r="OQD492" s="106"/>
      <c r="OQE492" s="106"/>
      <c r="OQF492" s="106"/>
      <c r="OQG492" s="106"/>
      <c r="OQH492" s="106"/>
      <c r="OQI492" s="106"/>
      <c r="OQJ492" s="106"/>
      <c r="OQK492" s="106"/>
      <c r="OQL492" s="106"/>
      <c r="OQM492" s="106"/>
      <c r="OQN492" s="106"/>
      <c r="OQO492" s="106"/>
      <c r="OQP492" s="106"/>
      <c r="OQQ492" s="106"/>
      <c r="OQR492" s="106"/>
      <c r="OQS492" s="106"/>
      <c r="OQT492" s="106"/>
      <c r="OQU492" s="106"/>
      <c r="OQV492" s="106"/>
      <c r="OQW492" s="106"/>
      <c r="OQX492" s="106"/>
      <c r="OQY492" s="106"/>
      <c r="OQZ492" s="106"/>
      <c r="ORA492" s="106"/>
      <c r="ORB492" s="106"/>
      <c r="ORC492" s="106"/>
      <c r="ORD492" s="106"/>
      <c r="ORE492" s="106"/>
      <c r="ORF492" s="106"/>
      <c r="ORG492" s="106"/>
      <c r="ORH492" s="106"/>
      <c r="ORI492" s="106"/>
      <c r="ORJ492" s="106"/>
      <c r="ORK492" s="106"/>
      <c r="ORL492" s="106"/>
      <c r="ORM492" s="106"/>
      <c r="ORN492" s="106"/>
      <c r="ORO492" s="106"/>
      <c r="ORP492" s="106"/>
      <c r="ORQ492" s="106"/>
      <c r="ORR492" s="106"/>
      <c r="ORS492" s="106"/>
      <c r="ORT492" s="106"/>
      <c r="ORU492" s="106"/>
      <c r="ORV492" s="106"/>
      <c r="ORW492" s="106"/>
      <c r="ORX492" s="106"/>
      <c r="ORY492" s="106"/>
      <c r="ORZ492" s="106"/>
      <c r="OSA492" s="106"/>
      <c r="OSB492" s="106"/>
      <c r="OSC492" s="106"/>
      <c r="OSD492" s="106"/>
      <c r="OSE492" s="106"/>
      <c r="OSF492" s="106"/>
      <c r="OSG492" s="106"/>
      <c r="OSH492" s="106"/>
      <c r="OSI492" s="106"/>
      <c r="OSJ492" s="106"/>
      <c r="OSK492" s="106"/>
      <c r="OSL492" s="106"/>
      <c r="OSM492" s="106"/>
      <c r="OSN492" s="106"/>
      <c r="OSO492" s="106"/>
      <c r="OSP492" s="106"/>
      <c r="OSQ492" s="106"/>
      <c r="OSR492" s="106"/>
      <c r="OSS492" s="106"/>
      <c r="OST492" s="106"/>
      <c r="OSU492" s="106"/>
      <c r="OSV492" s="106"/>
      <c r="OSW492" s="106"/>
      <c r="OSX492" s="106"/>
      <c r="OSY492" s="106"/>
      <c r="OSZ492" s="106"/>
      <c r="OTA492" s="106"/>
      <c r="OTB492" s="106"/>
      <c r="OTC492" s="106"/>
      <c r="OTD492" s="106"/>
      <c r="OTE492" s="106"/>
      <c r="OTF492" s="106"/>
      <c r="OTG492" s="106"/>
      <c r="OTH492" s="106"/>
      <c r="OTI492" s="106"/>
      <c r="OTJ492" s="106"/>
      <c r="OTK492" s="106"/>
      <c r="OTL492" s="106"/>
      <c r="OTM492" s="106"/>
      <c r="OTN492" s="106"/>
      <c r="OTO492" s="106"/>
      <c r="OTP492" s="106"/>
      <c r="OTQ492" s="106"/>
      <c r="OTR492" s="106"/>
      <c r="OTS492" s="106"/>
      <c r="OTT492" s="106"/>
      <c r="OTU492" s="106"/>
      <c r="OTV492" s="106"/>
      <c r="OTW492" s="106"/>
      <c r="OTX492" s="106"/>
      <c r="OTY492" s="106"/>
      <c r="OTZ492" s="106"/>
      <c r="OUA492" s="106"/>
      <c r="OUB492" s="106"/>
      <c r="OUC492" s="106"/>
      <c r="OUD492" s="106"/>
      <c r="OUE492" s="106"/>
      <c r="OUF492" s="106"/>
      <c r="OUG492" s="106"/>
      <c r="OUH492" s="106"/>
      <c r="OUI492" s="106"/>
      <c r="OUJ492" s="106"/>
      <c r="OUK492" s="106"/>
      <c r="OUL492" s="106"/>
      <c r="OUM492" s="106"/>
      <c r="OUN492" s="106"/>
      <c r="OUO492" s="106"/>
      <c r="OUP492" s="106"/>
      <c r="OUQ492" s="106"/>
      <c r="OUR492" s="106"/>
      <c r="OUS492" s="106"/>
      <c r="OUT492" s="106"/>
      <c r="OUU492" s="106"/>
      <c r="OUV492" s="106"/>
      <c r="OUW492" s="106"/>
      <c r="OUX492" s="106"/>
      <c r="OUY492" s="106"/>
      <c r="OUZ492" s="106"/>
      <c r="OVA492" s="106"/>
      <c r="OVB492" s="106"/>
      <c r="OVC492" s="106"/>
      <c r="OVD492" s="106"/>
      <c r="OVE492" s="106"/>
      <c r="OVF492" s="106"/>
      <c r="OVG492" s="106"/>
      <c r="OVH492" s="106"/>
      <c r="OVI492" s="106"/>
      <c r="OVJ492" s="106"/>
      <c r="OVK492" s="106"/>
      <c r="OVL492" s="106"/>
      <c r="OVM492" s="106"/>
      <c r="OVN492" s="106"/>
      <c r="OVO492" s="106"/>
      <c r="OVP492" s="106"/>
      <c r="OVQ492" s="106"/>
      <c r="OVR492" s="106"/>
      <c r="OVS492" s="106"/>
      <c r="OVT492" s="106"/>
      <c r="OVU492" s="106"/>
      <c r="OVV492" s="106"/>
      <c r="OVW492" s="106"/>
      <c r="OVX492" s="106"/>
      <c r="OVY492" s="106"/>
      <c r="OVZ492" s="106"/>
      <c r="OWA492" s="106"/>
      <c r="OWB492" s="106"/>
      <c r="OWC492" s="106"/>
      <c r="OWD492" s="106"/>
      <c r="OWE492" s="106"/>
      <c r="OWF492" s="106"/>
      <c r="OWG492" s="106"/>
      <c r="OWH492" s="106"/>
      <c r="OWI492" s="106"/>
      <c r="OWJ492" s="106"/>
      <c r="OWK492" s="106"/>
      <c r="OWL492" s="106"/>
      <c r="OWM492" s="106"/>
      <c r="OWN492" s="106"/>
      <c r="OWO492" s="106"/>
      <c r="OWP492" s="106"/>
      <c r="OWQ492" s="106"/>
      <c r="OWR492" s="106"/>
      <c r="OWS492" s="106"/>
      <c r="OWT492" s="106"/>
      <c r="OWU492" s="106"/>
      <c r="OWV492" s="106"/>
      <c r="OWW492" s="106"/>
      <c r="OWX492" s="106"/>
      <c r="OWY492" s="106"/>
      <c r="OWZ492" s="106"/>
      <c r="OXA492" s="106"/>
      <c r="OXB492" s="106"/>
      <c r="OXC492" s="106"/>
      <c r="OXD492" s="106"/>
      <c r="OXE492" s="106"/>
      <c r="OXF492" s="106"/>
      <c r="OXG492" s="106"/>
      <c r="OXH492" s="106"/>
      <c r="OXI492" s="106"/>
      <c r="OXJ492" s="106"/>
      <c r="OXK492" s="106"/>
      <c r="OXL492" s="106"/>
      <c r="OXM492" s="106"/>
      <c r="OXN492" s="106"/>
      <c r="OXO492" s="106"/>
      <c r="OXP492" s="106"/>
      <c r="OXQ492" s="106"/>
      <c r="OXR492" s="106"/>
      <c r="OXS492" s="106"/>
      <c r="OXT492" s="106"/>
      <c r="OXU492" s="106"/>
      <c r="OXV492" s="106"/>
      <c r="OXW492" s="106"/>
      <c r="OXX492" s="106"/>
      <c r="OXY492" s="106"/>
      <c r="OXZ492" s="106"/>
      <c r="OYA492" s="106"/>
      <c r="OYB492" s="106"/>
      <c r="OYC492" s="106"/>
      <c r="OYD492" s="106"/>
      <c r="OYE492" s="106"/>
      <c r="OYF492" s="106"/>
      <c r="OYG492" s="106"/>
      <c r="OYH492" s="106"/>
      <c r="OYI492" s="106"/>
      <c r="OYJ492" s="106"/>
      <c r="OYK492" s="106"/>
      <c r="OYL492" s="106"/>
      <c r="OYM492" s="106"/>
      <c r="OYN492" s="106"/>
      <c r="OYO492" s="106"/>
      <c r="OYP492" s="106"/>
      <c r="OYQ492" s="106"/>
      <c r="OYR492" s="106"/>
      <c r="OYS492" s="106"/>
      <c r="OYT492" s="106"/>
      <c r="OYU492" s="106"/>
      <c r="OYV492" s="106"/>
      <c r="OYW492" s="106"/>
      <c r="OYX492" s="106"/>
      <c r="OYY492" s="106"/>
      <c r="OYZ492" s="106"/>
      <c r="OZA492" s="106"/>
      <c r="OZB492" s="106"/>
      <c r="OZC492" s="106"/>
      <c r="OZD492" s="106"/>
      <c r="OZE492" s="106"/>
      <c r="OZF492" s="106"/>
      <c r="OZG492" s="106"/>
      <c r="OZH492" s="106"/>
      <c r="OZI492" s="106"/>
      <c r="OZJ492" s="106"/>
      <c r="OZK492" s="106"/>
      <c r="OZL492" s="106"/>
      <c r="OZM492" s="106"/>
      <c r="OZN492" s="106"/>
      <c r="OZO492" s="106"/>
      <c r="OZP492" s="106"/>
      <c r="OZQ492" s="106"/>
      <c r="OZR492" s="106"/>
      <c r="OZS492" s="106"/>
      <c r="OZT492" s="106"/>
      <c r="OZU492" s="106"/>
      <c r="OZV492" s="106"/>
      <c r="OZW492" s="106"/>
      <c r="OZX492" s="106"/>
      <c r="OZY492" s="106"/>
      <c r="OZZ492" s="106"/>
      <c r="PAA492" s="106"/>
      <c r="PAB492" s="106"/>
      <c r="PAC492" s="106"/>
      <c r="PAD492" s="106"/>
      <c r="PAE492" s="106"/>
      <c r="PAF492" s="106"/>
      <c r="PAG492" s="106"/>
      <c r="PAH492" s="106"/>
      <c r="PAI492" s="106"/>
      <c r="PAJ492" s="106"/>
      <c r="PAK492" s="106"/>
      <c r="PAL492" s="106"/>
      <c r="PAM492" s="106"/>
      <c r="PAN492" s="106"/>
      <c r="PAO492" s="106"/>
      <c r="PAP492" s="106"/>
      <c r="PAQ492" s="106"/>
      <c r="PAR492" s="106"/>
      <c r="PAS492" s="106"/>
      <c r="PAT492" s="106"/>
      <c r="PAU492" s="106"/>
      <c r="PAV492" s="106"/>
      <c r="PAW492" s="106"/>
      <c r="PAX492" s="106"/>
      <c r="PAY492" s="106"/>
      <c r="PAZ492" s="106"/>
      <c r="PBA492" s="106"/>
      <c r="PBB492" s="106"/>
      <c r="PBC492" s="106"/>
      <c r="PBD492" s="106"/>
      <c r="PBE492" s="106"/>
      <c r="PBF492" s="106"/>
      <c r="PBG492" s="106"/>
      <c r="PBH492" s="106"/>
      <c r="PBI492" s="106"/>
      <c r="PBJ492" s="106"/>
      <c r="PBK492" s="106"/>
      <c r="PBL492" s="106"/>
      <c r="PBM492" s="106"/>
      <c r="PBN492" s="106"/>
      <c r="PBO492" s="106"/>
      <c r="PBP492" s="106"/>
      <c r="PBQ492" s="106"/>
      <c r="PBR492" s="106"/>
      <c r="PBS492" s="106"/>
      <c r="PBT492" s="106"/>
      <c r="PBU492" s="106"/>
      <c r="PBV492" s="106"/>
      <c r="PBW492" s="106"/>
      <c r="PBX492" s="106"/>
      <c r="PBY492" s="106"/>
      <c r="PBZ492" s="106"/>
      <c r="PCA492" s="106"/>
      <c r="PCB492" s="106"/>
      <c r="PCC492" s="106"/>
      <c r="PCD492" s="106"/>
      <c r="PCE492" s="106"/>
      <c r="PCF492" s="106"/>
      <c r="PCG492" s="106"/>
      <c r="PCH492" s="106"/>
      <c r="PCI492" s="106"/>
      <c r="PCJ492" s="106"/>
      <c r="PCK492" s="106"/>
      <c r="PCL492" s="106"/>
      <c r="PCM492" s="106"/>
      <c r="PCN492" s="106"/>
      <c r="PCO492" s="106"/>
      <c r="PCP492" s="106"/>
      <c r="PCQ492" s="106"/>
      <c r="PCR492" s="106"/>
      <c r="PCS492" s="106"/>
      <c r="PCT492" s="106"/>
      <c r="PCU492" s="106"/>
      <c r="PCV492" s="106"/>
      <c r="PCW492" s="106"/>
      <c r="PCX492" s="106"/>
      <c r="PCY492" s="106"/>
      <c r="PCZ492" s="106"/>
      <c r="PDA492" s="106"/>
      <c r="PDB492" s="106"/>
      <c r="PDC492" s="106"/>
      <c r="PDD492" s="106"/>
      <c r="PDE492" s="106"/>
      <c r="PDF492" s="106"/>
      <c r="PDG492" s="106"/>
      <c r="PDH492" s="106"/>
      <c r="PDI492" s="106"/>
      <c r="PDJ492" s="106"/>
      <c r="PDK492" s="106"/>
      <c r="PDL492" s="106"/>
      <c r="PDM492" s="106"/>
      <c r="PDN492" s="106"/>
      <c r="PDO492" s="106"/>
      <c r="PDP492" s="106"/>
      <c r="PDQ492" s="106"/>
      <c r="PDR492" s="106"/>
      <c r="PDS492" s="106"/>
      <c r="PDT492" s="106"/>
      <c r="PDU492" s="106"/>
      <c r="PDV492" s="106"/>
      <c r="PDW492" s="106"/>
      <c r="PDX492" s="106"/>
      <c r="PDY492" s="106"/>
      <c r="PDZ492" s="106"/>
      <c r="PEA492" s="106"/>
      <c r="PEB492" s="106"/>
      <c r="PEC492" s="106"/>
      <c r="PED492" s="106"/>
      <c r="PEE492" s="106"/>
      <c r="PEF492" s="106"/>
      <c r="PEG492" s="106"/>
      <c r="PEH492" s="106"/>
      <c r="PEI492" s="106"/>
      <c r="PEJ492" s="106"/>
      <c r="PEK492" s="106"/>
      <c r="PEL492" s="106"/>
      <c r="PEM492" s="106"/>
      <c r="PEN492" s="106"/>
      <c r="PEO492" s="106"/>
      <c r="PEP492" s="106"/>
      <c r="PEQ492" s="106"/>
      <c r="PER492" s="106"/>
      <c r="PES492" s="106"/>
      <c r="PET492" s="106"/>
      <c r="PEU492" s="106"/>
      <c r="PEV492" s="106"/>
      <c r="PEW492" s="106"/>
      <c r="PEX492" s="106"/>
      <c r="PEY492" s="106"/>
      <c r="PEZ492" s="106"/>
      <c r="PFA492" s="106"/>
      <c r="PFB492" s="106"/>
      <c r="PFC492" s="106"/>
      <c r="PFD492" s="106"/>
      <c r="PFE492" s="106"/>
      <c r="PFF492" s="106"/>
      <c r="PFG492" s="106"/>
      <c r="PFH492" s="106"/>
      <c r="PFI492" s="106"/>
      <c r="PFJ492" s="106"/>
      <c r="PFK492" s="106"/>
      <c r="PFL492" s="106"/>
      <c r="PFM492" s="106"/>
      <c r="PFN492" s="106"/>
      <c r="PFO492" s="106"/>
      <c r="PFP492" s="106"/>
      <c r="PFQ492" s="106"/>
      <c r="PFR492" s="106"/>
      <c r="PFS492" s="106"/>
      <c r="PFT492" s="106"/>
      <c r="PFU492" s="106"/>
      <c r="PFV492" s="106"/>
      <c r="PFW492" s="106"/>
      <c r="PFX492" s="106"/>
      <c r="PFY492" s="106"/>
      <c r="PFZ492" s="106"/>
      <c r="PGA492" s="106"/>
      <c r="PGB492" s="106"/>
      <c r="PGC492" s="106"/>
      <c r="PGD492" s="106"/>
      <c r="PGE492" s="106"/>
      <c r="PGF492" s="106"/>
      <c r="PGG492" s="106"/>
      <c r="PGH492" s="106"/>
      <c r="PGI492" s="106"/>
      <c r="PGJ492" s="106"/>
      <c r="PGK492" s="106"/>
      <c r="PGL492" s="106"/>
      <c r="PGM492" s="106"/>
      <c r="PGN492" s="106"/>
      <c r="PGO492" s="106"/>
      <c r="PGP492" s="106"/>
      <c r="PGQ492" s="106"/>
      <c r="PGR492" s="106"/>
      <c r="PGS492" s="106"/>
      <c r="PGT492" s="106"/>
      <c r="PGU492" s="106"/>
      <c r="PGV492" s="106"/>
      <c r="PGW492" s="106"/>
      <c r="PGX492" s="106"/>
      <c r="PGY492" s="106"/>
      <c r="PGZ492" s="106"/>
      <c r="PHA492" s="106"/>
      <c r="PHB492" s="106"/>
      <c r="PHC492" s="106"/>
      <c r="PHD492" s="106"/>
      <c r="PHE492" s="106"/>
      <c r="PHF492" s="106"/>
      <c r="PHG492" s="106"/>
      <c r="PHH492" s="106"/>
      <c r="PHI492" s="106"/>
      <c r="PHJ492" s="106"/>
      <c r="PHK492" s="106"/>
      <c r="PHL492" s="106"/>
      <c r="PHM492" s="106"/>
      <c r="PHN492" s="106"/>
      <c r="PHO492" s="106"/>
      <c r="PHP492" s="106"/>
      <c r="PHQ492" s="106"/>
      <c r="PHR492" s="106"/>
      <c r="PHS492" s="106"/>
      <c r="PHT492" s="106"/>
      <c r="PHU492" s="106"/>
      <c r="PHV492" s="106"/>
      <c r="PHW492" s="106"/>
      <c r="PHX492" s="106"/>
      <c r="PHY492" s="106"/>
      <c r="PHZ492" s="106"/>
      <c r="PIA492" s="106"/>
      <c r="PIB492" s="106"/>
      <c r="PIC492" s="106"/>
      <c r="PID492" s="106"/>
      <c r="PIE492" s="106"/>
      <c r="PIF492" s="106"/>
      <c r="PIG492" s="106"/>
      <c r="PIH492" s="106"/>
      <c r="PII492" s="106"/>
      <c r="PIJ492" s="106"/>
      <c r="PIK492" s="106"/>
      <c r="PIL492" s="106"/>
      <c r="PIM492" s="106"/>
      <c r="PIN492" s="106"/>
      <c r="PIO492" s="106"/>
      <c r="PIP492" s="106"/>
      <c r="PIQ492" s="106"/>
      <c r="PIR492" s="106"/>
      <c r="PIS492" s="106"/>
      <c r="PIT492" s="106"/>
      <c r="PIU492" s="106"/>
      <c r="PIV492" s="106"/>
      <c r="PIW492" s="106"/>
      <c r="PIX492" s="106"/>
      <c r="PIY492" s="106"/>
      <c r="PIZ492" s="106"/>
      <c r="PJA492" s="106"/>
      <c r="PJB492" s="106"/>
      <c r="PJC492" s="106"/>
      <c r="PJD492" s="106"/>
      <c r="PJE492" s="106"/>
      <c r="PJF492" s="106"/>
      <c r="PJG492" s="106"/>
      <c r="PJH492" s="106"/>
      <c r="PJI492" s="106"/>
      <c r="PJJ492" s="106"/>
      <c r="PJK492" s="106"/>
      <c r="PJL492" s="106"/>
      <c r="PJM492" s="106"/>
      <c r="PJN492" s="106"/>
      <c r="PJO492" s="106"/>
      <c r="PJP492" s="106"/>
      <c r="PJQ492" s="106"/>
      <c r="PJR492" s="106"/>
      <c r="PJS492" s="106"/>
      <c r="PJT492" s="106"/>
      <c r="PJU492" s="106"/>
      <c r="PJV492" s="106"/>
      <c r="PJW492" s="106"/>
      <c r="PJX492" s="106"/>
      <c r="PJY492" s="106"/>
      <c r="PJZ492" s="106"/>
      <c r="PKA492" s="106"/>
      <c r="PKB492" s="106"/>
      <c r="PKC492" s="106"/>
      <c r="PKD492" s="106"/>
      <c r="PKE492" s="106"/>
      <c r="PKF492" s="106"/>
      <c r="PKG492" s="106"/>
      <c r="PKH492" s="106"/>
      <c r="PKI492" s="106"/>
      <c r="PKJ492" s="106"/>
      <c r="PKK492" s="106"/>
      <c r="PKL492" s="106"/>
      <c r="PKM492" s="106"/>
      <c r="PKN492" s="106"/>
      <c r="PKO492" s="106"/>
      <c r="PKP492" s="106"/>
      <c r="PKQ492" s="106"/>
      <c r="PKR492" s="106"/>
      <c r="PKS492" s="106"/>
      <c r="PKT492" s="106"/>
      <c r="PKU492" s="106"/>
      <c r="PKV492" s="106"/>
      <c r="PKW492" s="106"/>
      <c r="PKX492" s="106"/>
      <c r="PKY492" s="106"/>
      <c r="PKZ492" s="106"/>
      <c r="PLA492" s="106"/>
      <c r="PLB492" s="106"/>
      <c r="PLC492" s="106"/>
      <c r="PLD492" s="106"/>
      <c r="PLE492" s="106"/>
      <c r="PLF492" s="106"/>
      <c r="PLG492" s="106"/>
      <c r="PLH492" s="106"/>
      <c r="PLI492" s="106"/>
      <c r="PLJ492" s="106"/>
      <c r="PLK492" s="106"/>
      <c r="PLL492" s="106"/>
      <c r="PLM492" s="106"/>
      <c r="PLN492" s="106"/>
      <c r="PLO492" s="106"/>
      <c r="PLP492" s="106"/>
      <c r="PLQ492" s="106"/>
      <c r="PLR492" s="106"/>
      <c r="PLS492" s="106"/>
      <c r="PLT492" s="106"/>
      <c r="PLU492" s="106"/>
      <c r="PLV492" s="106"/>
      <c r="PLW492" s="106"/>
      <c r="PLX492" s="106"/>
      <c r="PLY492" s="106"/>
      <c r="PLZ492" s="106"/>
      <c r="PMA492" s="106"/>
      <c r="PMB492" s="106"/>
      <c r="PMC492" s="106"/>
      <c r="PMD492" s="106"/>
      <c r="PME492" s="106"/>
      <c r="PMF492" s="106"/>
      <c r="PMG492" s="106"/>
      <c r="PMH492" s="106"/>
      <c r="PMI492" s="106"/>
      <c r="PMJ492" s="106"/>
      <c r="PMK492" s="106"/>
      <c r="PML492" s="106"/>
      <c r="PMM492" s="106"/>
      <c r="PMN492" s="106"/>
      <c r="PMO492" s="106"/>
      <c r="PMP492" s="106"/>
      <c r="PMQ492" s="106"/>
      <c r="PMR492" s="106"/>
      <c r="PMS492" s="106"/>
      <c r="PMT492" s="106"/>
      <c r="PMU492" s="106"/>
      <c r="PMV492" s="106"/>
      <c r="PMW492" s="106"/>
      <c r="PMX492" s="106"/>
      <c r="PMY492" s="106"/>
      <c r="PMZ492" s="106"/>
      <c r="PNA492" s="106"/>
      <c r="PNB492" s="106"/>
      <c r="PNC492" s="106"/>
      <c r="PND492" s="106"/>
      <c r="PNE492" s="106"/>
      <c r="PNF492" s="106"/>
      <c r="PNG492" s="106"/>
      <c r="PNH492" s="106"/>
      <c r="PNI492" s="106"/>
      <c r="PNJ492" s="106"/>
      <c r="PNK492" s="106"/>
      <c r="PNL492" s="106"/>
      <c r="PNM492" s="106"/>
      <c r="PNN492" s="106"/>
      <c r="PNO492" s="106"/>
      <c r="PNP492" s="106"/>
      <c r="PNQ492" s="106"/>
      <c r="PNR492" s="106"/>
      <c r="PNS492" s="106"/>
      <c r="PNT492" s="106"/>
      <c r="PNU492" s="106"/>
      <c r="PNV492" s="106"/>
      <c r="PNW492" s="106"/>
      <c r="PNX492" s="106"/>
      <c r="PNY492" s="106"/>
      <c r="PNZ492" s="106"/>
      <c r="POA492" s="106"/>
      <c r="POB492" s="106"/>
      <c r="POC492" s="106"/>
      <c r="POD492" s="106"/>
      <c r="POE492" s="106"/>
      <c r="POF492" s="106"/>
      <c r="POG492" s="106"/>
      <c r="POH492" s="106"/>
      <c r="POI492" s="106"/>
      <c r="POJ492" s="106"/>
      <c r="POK492" s="106"/>
      <c r="POL492" s="106"/>
      <c r="POM492" s="106"/>
      <c r="PON492" s="106"/>
      <c r="POO492" s="106"/>
      <c r="POP492" s="106"/>
      <c r="POQ492" s="106"/>
      <c r="POR492" s="106"/>
      <c r="POS492" s="106"/>
      <c r="POT492" s="106"/>
      <c r="POU492" s="106"/>
      <c r="POV492" s="106"/>
      <c r="POW492" s="106"/>
      <c r="POX492" s="106"/>
      <c r="POY492" s="106"/>
      <c r="POZ492" s="106"/>
      <c r="PPA492" s="106"/>
      <c r="PPB492" s="106"/>
      <c r="PPC492" s="106"/>
      <c r="PPD492" s="106"/>
      <c r="PPE492" s="106"/>
      <c r="PPF492" s="106"/>
      <c r="PPG492" s="106"/>
      <c r="PPH492" s="106"/>
      <c r="PPI492" s="106"/>
      <c r="PPJ492" s="106"/>
      <c r="PPK492" s="106"/>
      <c r="PPL492" s="106"/>
      <c r="PPM492" s="106"/>
      <c r="PPN492" s="106"/>
      <c r="PPO492" s="106"/>
      <c r="PPP492" s="106"/>
      <c r="PPQ492" s="106"/>
      <c r="PPR492" s="106"/>
      <c r="PPS492" s="106"/>
      <c r="PPT492" s="106"/>
      <c r="PPU492" s="106"/>
      <c r="PPV492" s="106"/>
      <c r="PPW492" s="106"/>
      <c r="PPX492" s="106"/>
      <c r="PPY492" s="106"/>
      <c r="PPZ492" s="106"/>
      <c r="PQA492" s="106"/>
      <c r="PQB492" s="106"/>
      <c r="PQC492" s="106"/>
      <c r="PQD492" s="106"/>
      <c r="PQE492" s="106"/>
      <c r="PQF492" s="106"/>
      <c r="PQG492" s="106"/>
      <c r="PQH492" s="106"/>
      <c r="PQI492" s="106"/>
      <c r="PQJ492" s="106"/>
      <c r="PQK492" s="106"/>
      <c r="PQL492" s="106"/>
      <c r="PQM492" s="106"/>
      <c r="PQN492" s="106"/>
      <c r="PQO492" s="106"/>
      <c r="PQP492" s="106"/>
      <c r="PQQ492" s="106"/>
      <c r="PQR492" s="106"/>
      <c r="PQS492" s="106"/>
      <c r="PQT492" s="106"/>
      <c r="PQU492" s="106"/>
      <c r="PQV492" s="106"/>
      <c r="PQW492" s="106"/>
      <c r="PQX492" s="106"/>
      <c r="PQY492" s="106"/>
      <c r="PQZ492" s="106"/>
      <c r="PRA492" s="106"/>
      <c r="PRB492" s="106"/>
      <c r="PRC492" s="106"/>
      <c r="PRD492" s="106"/>
      <c r="PRE492" s="106"/>
      <c r="PRF492" s="106"/>
      <c r="PRG492" s="106"/>
      <c r="PRH492" s="106"/>
      <c r="PRI492" s="106"/>
      <c r="PRJ492" s="106"/>
      <c r="PRK492" s="106"/>
      <c r="PRL492" s="106"/>
      <c r="PRM492" s="106"/>
      <c r="PRN492" s="106"/>
      <c r="PRO492" s="106"/>
      <c r="PRP492" s="106"/>
      <c r="PRQ492" s="106"/>
      <c r="PRR492" s="106"/>
      <c r="PRS492" s="106"/>
      <c r="PRT492" s="106"/>
      <c r="PRU492" s="106"/>
      <c r="PRV492" s="106"/>
      <c r="PRW492" s="106"/>
      <c r="PRX492" s="106"/>
      <c r="PRY492" s="106"/>
      <c r="PRZ492" s="106"/>
      <c r="PSA492" s="106"/>
      <c r="PSB492" s="106"/>
      <c r="PSC492" s="106"/>
      <c r="PSD492" s="106"/>
      <c r="PSE492" s="106"/>
      <c r="PSF492" s="106"/>
      <c r="PSG492" s="106"/>
      <c r="PSH492" s="106"/>
      <c r="PSI492" s="106"/>
      <c r="PSJ492" s="106"/>
      <c r="PSK492" s="106"/>
      <c r="PSL492" s="106"/>
      <c r="PSM492" s="106"/>
      <c r="PSN492" s="106"/>
      <c r="PSO492" s="106"/>
      <c r="PSP492" s="106"/>
      <c r="PSQ492" s="106"/>
      <c r="PSR492" s="106"/>
      <c r="PSS492" s="106"/>
      <c r="PST492" s="106"/>
      <c r="PSU492" s="106"/>
      <c r="PSV492" s="106"/>
      <c r="PSW492" s="106"/>
      <c r="PSX492" s="106"/>
      <c r="PSY492" s="106"/>
      <c r="PSZ492" s="106"/>
      <c r="PTA492" s="106"/>
      <c r="PTB492" s="106"/>
      <c r="PTC492" s="106"/>
      <c r="PTD492" s="106"/>
      <c r="PTE492" s="106"/>
      <c r="PTF492" s="106"/>
      <c r="PTG492" s="106"/>
      <c r="PTH492" s="106"/>
      <c r="PTI492" s="106"/>
      <c r="PTJ492" s="106"/>
      <c r="PTK492" s="106"/>
      <c r="PTL492" s="106"/>
      <c r="PTM492" s="106"/>
      <c r="PTN492" s="106"/>
      <c r="PTO492" s="106"/>
      <c r="PTP492" s="106"/>
      <c r="PTQ492" s="106"/>
      <c r="PTR492" s="106"/>
      <c r="PTS492" s="106"/>
      <c r="PTT492" s="106"/>
      <c r="PTU492" s="106"/>
      <c r="PTV492" s="106"/>
      <c r="PTW492" s="106"/>
      <c r="PTX492" s="106"/>
      <c r="PTY492" s="106"/>
      <c r="PTZ492" s="106"/>
      <c r="PUA492" s="106"/>
      <c r="PUB492" s="106"/>
      <c r="PUC492" s="106"/>
      <c r="PUD492" s="106"/>
      <c r="PUE492" s="106"/>
      <c r="PUF492" s="106"/>
      <c r="PUG492" s="106"/>
      <c r="PUH492" s="106"/>
      <c r="PUI492" s="106"/>
      <c r="PUJ492" s="106"/>
      <c r="PUK492" s="106"/>
      <c r="PUL492" s="106"/>
      <c r="PUM492" s="106"/>
      <c r="PUN492" s="106"/>
      <c r="PUO492" s="106"/>
      <c r="PUP492" s="106"/>
      <c r="PUQ492" s="106"/>
      <c r="PUR492" s="106"/>
      <c r="PUS492" s="106"/>
      <c r="PUT492" s="106"/>
      <c r="PUU492" s="106"/>
      <c r="PUV492" s="106"/>
      <c r="PUW492" s="106"/>
      <c r="PUX492" s="106"/>
      <c r="PUY492" s="106"/>
      <c r="PUZ492" s="106"/>
      <c r="PVA492" s="106"/>
      <c r="PVB492" s="106"/>
      <c r="PVC492" s="106"/>
      <c r="PVD492" s="106"/>
      <c r="PVE492" s="106"/>
      <c r="PVF492" s="106"/>
      <c r="PVG492" s="106"/>
      <c r="PVH492" s="106"/>
      <c r="PVI492" s="106"/>
      <c r="PVJ492" s="106"/>
      <c r="PVK492" s="106"/>
      <c r="PVL492" s="106"/>
      <c r="PVM492" s="106"/>
      <c r="PVN492" s="106"/>
      <c r="PVO492" s="106"/>
      <c r="PVP492" s="106"/>
      <c r="PVQ492" s="106"/>
      <c r="PVR492" s="106"/>
      <c r="PVS492" s="106"/>
      <c r="PVT492" s="106"/>
      <c r="PVU492" s="106"/>
      <c r="PVV492" s="106"/>
      <c r="PVW492" s="106"/>
      <c r="PVX492" s="106"/>
      <c r="PVY492" s="106"/>
      <c r="PVZ492" s="106"/>
      <c r="PWA492" s="106"/>
      <c r="PWB492" s="106"/>
      <c r="PWC492" s="106"/>
      <c r="PWD492" s="106"/>
      <c r="PWE492" s="106"/>
      <c r="PWF492" s="106"/>
      <c r="PWG492" s="106"/>
      <c r="PWH492" s="106"/>
      <c r="PWI492" s="106"/>
      <c r="PWJ492" s="106"/>
      <c r="PWK492" s="106"/>
      <c r="PWL492" s="106"/>
      <c r="PWM492" s="106"/>
      <c r="PWN492" s="106"/>
      <c r="PWO492" s="106"/>
      <c r="PWP492" s="106"/>
      <c r="PWQ492" s="106"/>
      <c r="PWR492" s="106"/>
      <c r="PWS492" s="106"/>
      <c r="PWT492" s="106"/>
      <c r="PWU492" s="106"/>
      <c r="PWV492" s="106"/>
      <c r="PWW492" s="106"/>
      <c r="PWX492" s="106"/>
      <c r="PWY492" s="106"/>
      <c r="PWZ492" s="106"/>
      <c r="PXA492" s="106"/>
      <c r="PXB492" s="106"/>
      <c r="PXC492" s="106"/>
      <c r="PXD492" s="106"/>
      <c r="PXE492" s="106"/>
      <c r="PXF492" s="106"/>
      <c r="PXG492" s="106"/>
      <c r="PXH492" s="106"/>
      <c r="PXI492" s="106"/>
      <c r="PXJ492" s="106"/>
      <c r="PXK492" s="106"/>
      <c r="PXL492" s="106"/>
      <c r="PXM492" s="106"/>
      <c r="PXN492" s="106"/>
      <c r="PXO492" s="106"/>
      <c r="PXP492" s="106"/>
      <c r="PXQ492" s="106"/>
      <c r="PXR492" s="106"/>
      <c r="PXS492" s="106"/>
      <c r="PXT492" s="106"/>
      <c r="PXU492" s="106"/>
      <c r="PXV492" s="106"/>
      <c r="PXW492" s="106"/>
      <c r="PXX492" s="106"/>
      <c r="PXY492" s="106"/>
      <c r="PXZ492" s="106"/>
      <c r="PYA492" s="106"/>
      <c r="PYB492" s="106"/>
      <c r="PYC492" s="106"/>
      <c r="PYD492" s="106"/>
      <c r="PYE492" s="106"/>
      <c r="PYF492" s="106"/>
      <c r="PYG492" s="106"/>
      <c r="PYH492" s="106"/>
      <c r="PYI492" s="106"/>
      <c r="PYJ492" s="106"/>
      <c r="PYK492" s="106"/>
      <c r="PYL492" s="106"/>
      <c r="PYM492" s="106"/>
      <c r="PYN492" s="106"/>
      <c r="PYO492" s="106"/>
      <c r="PYP492" s="106"/>
      <c r="PYQ492" s="106"/>
      <c r="PYR492" s="106"/>
      <c r="PYS492" s="106"/>
      <c r="PYT492" s="106"/>
      <c r="PYU492" s="106"/>
      <c r="PYV492" s="106"/>
      <c r="PYW492" s="106"/>
      <c r="PYX492" s="106"/>
      <c r="PYY492" s="106"/>
      <c r="PYZ492" s="106"/>
      <c r="PZA492" s="106"/>
      <c r="PZB492" s="106"/>
      <c r="PZC492" s="106"/>
      <c r="PZD492" s="106"/>
      <c r="PZE492" s="106"/>
      <c r="PZF492" s="106"/>
      <c r="PZG492" s="106"/>
      <c r="PZH492" s="106"/>
      <c r="PZI492" s="106"/>
      <c r="PZJ492" s="106"/>
      <c r="PZK492" s="106"/>
      <c r="PZL492" s="106"/>
      <c r="PZM492" s="106"/>
      <c r="PZN492" s="106"/>
      <c r="PZO492" s="106"/>
      <c r="PZP492" s="106"/>
      <c r="PZQ492" s="106"/>
      <c r="PZR492" s="106"/>
      <c r="PZS492" s="106"/>
      <c r="PZT492" s="106"/>
      <c r="PZU492" s="106"/>
      <c r="PZV492" s="106"/>
      <c r="PZW492" s="106"/>
      <c r="PZX492" s="106"/>
      <c r="PZY492" s="106"/>
      <c r="PZZ492" s="106"/>
      <c r="QAA492" s="106"/>
      <c r="QAB492" s="106"/>
      <c r="QAC492" s="106"/>
      <c r="QAD492" s="106"/>
      <c r="QAE492" s="106"/>
      <c r="QAF492" s="106"/>
      <c r="QAG492" s="106"/>
      <c r="QAH492" s="106"/>
      <c r="QAI492" s="106"/>
      <c r="QAJ492" s="106"/>
      <c r="QAK492" s="106"/>
      <c r="QAL492" s="106"/>
      <c r="QAM492" s="106"/>
      <c r="QAN492" s="106"/>
      <c r="QAO492" s="106"/>
      <c r="QAP492" s="106"/>
      <c r="QAQ492" s="106"/>
      <c r="QAR492" s="106"/>
      <c r="QAS492" s="106"/>
      <c r="QAT492" s="106"/>
      <c r="QAU492" s="106"/>
      <c r="QAV492" s="106"/>
      <c r="QAW492" s="106"/>
      <c r="QAX492" s="106"/>
      <c r="QAY492" s="106"/>
      <c r="QAZ492" s="106"/>
      <c r="QBA492" s="106"/>
      <c r="QBB492" s="106"/>
      <c r="QBC492" s="106"/>
      <c r="QBD492" s="106"/>
      <c r="QBE492" s="106"/>
      <c r="QBF492" s="106"/>
      <c r="QBG492" s="106"/>
      <c r="QBH492" s="106"/>
      <c r="QBI492" s="106"/>
      <c r="QBJ492" s="106"/>
      <c r="QBK492" s="106"/>
      <c r="QBL492" s="106"/>
      <c r="QBM492" s="106"/>
      <c r="QBN492" s="106"/>
      <c r="QBO492" s="106"/>
      <c r="QBP492" s="106"/>
      <c r="QBQ492" s="106"/>
      <c r="QBR492" s="106"/>
      <c r="QBS492" s="106"/>
      <c r="QBT492" s="106"/>
      <c r="QBU492" s="106"/>
      <c r="QBV492" s="106"/>
      <c r="QBW492" s="106"/>
      <c r="QBX492" s="106"/>
      <c r="QBY492" s="106"/>
      <c r="QBZ492" s="106"/>
      <c r="QCA492" s="106"/>
      <c r="QCB492" s="106"/>
      <c r="QCC492" s="106"/>
      <c r="QCD492" s="106"/>
      <c r="QCE492" s="106"/>
      <c r="QCF492" s="106"/>
      <c r="QCG492" s="106"/>
      <c r="QCH492" s="106"/>
      <c r="QCI492" s="106"/>
      <c r="QCJ492" s="106"/>
      <c r="QCK492" s="106"/>
      <c r="QCL492" s="106"/>
      <c r="QCM492" s="106"/>
      <c r="QCN492" s="106"/>
      <c r="QCO492" s="106"/>
      <c r="QCP492" s="106"/>
      <c r="QCQ492" s="106"/>
      <c r="QCR492" s="106"/>
      <c r="QCS492" s="106"/>
      <c r="QCT492" s="106"/>
      <c r="QCU492" s="106"/>
      <c r="QCV492" s="106"/>
      <c r="QCW492" s="106"/>
      <c r="QCX492" s="106"/>
      <c r="QCY492" s="106"/>
      <c r="QCZ492" s="106"/>
      <c r="QDA492" s="106"/>
      <c r="QDB492" s="106"/>
      <c r="QDC492" s="106"/>
      <c r="QDD492" s="106"/>
      <c r="QDE492" s="106"/>
      <c r="QDF492" s="106"/>
      <c r="QDG492" s="106"/>
      <c r="QDH492" s="106"/>
      <c r="QDI492" s="106"/>
      <c r="QDJ492" s="106"/>
      <c r="QDK492" s="106"/>
      <c r="QDL492" s="106"/>
      <c r="QDM492" s="106"/>
      <c r="QDN492" s="106"/>
      <c r="QDO492" s="106"/>
      <c r="QDP492" s="106"/>
      <c r="QDQ492" s="106"/>
      <c r="QDR492" s="106"/>
      <c r="QDS492" s="106"/>
      <c r="QDT492" s="106"/>
      <c r="QDU492" s="106"/>
      <c r="QDV492" s="106"/>
      <c r="QDW492" s="106"/>
      <c r="QDX492" s="106"/>
      <c r="QDY492" s="106"/>
      <c r="QDZ492" s="106"/>
      <c r="QEA492" s="106"/>
      <c r="QEB492" s="106"/>
      <c r="QEC492" s="106"/>
      <c r="QED492" s="106"/>
      <c r="QEE492" s="106"/>
      <c r="QEF492" s="106"/>
      <c r="QEG492" s="106"/>
      <c r="QEH492" s="106"/>
      <c r="QEI492" s="106"/>
      <c r="QEJ492" s="106"/>
      <c r="QEK492" s="106"/>
      <c r="QEL492" s="106"/>
      <c r="QEM492" s="106"/>
      <c r="QEN492" s="106"/>
      <c r="QEO492" s="106"/>
      <c r="QEP492" s="106"/>
      <c r="QEQ492" s="106"/>
      <c r="QER492" s="106"/>
      <c r="QES492" s="106"/>
      <c r="QET492" s="106"/>
      <c r="QEU492" s="106"/>
      <c r="QEV492" s="106"/>
      <c r="QEW492" s="106"/>
      <c r="QEX492" s="106"/>
      <c r="QEY492" s="106"/>
      <c r="QEZ492" s="106"/>
      <c r="QFA492" s="106"/>
      <c r="QFB492" s="106"/>
      <c r="QFC492" s="106"/>
      <c r="QFD492" s="106"/>
      <c r="QFE492" s="106"/>
      <c r="QFF492" s="106"/>
      <c r="QFG492" s="106"/>
      <c r="QFH492" s="106"/>
      <c r="QFI492" s="106"/>
      <c r="QFJ492" s="106"/>
      <c r="QFK492" s="106"/>
      <c r="QFL492" s="106"/>
      <c r="QFM492" s="106"/>
      <c r="QFN492" s="106"/>
      <c r="QFO492" s="106"/>
      <c r="QFP492" s="106"/>
      <c r="QFQ492" s="106"/>
      <c r="QFR492" s="106"/>
      <c r="QFS492" s="106"/>
      <c r="QFT492" s="106"/>
      <c r="QFU492" s="106"/>
      <c r="QFV492" s="106"/>
      <c r="QFW492" s="106"/>
      <c r="QFX492" s="106"/>
      <c r="QFY492" s="106"/>
      <c r="QFZ492" s="106"/>
      <c r="QGA492" s="106"/>
      <c r="QGB492" s="106"/>
      <c r="QGC492" s="106"/>
      <c r="QGD492" s="106"/>
      <c r="QGE492" s="106"/>
      <c r="QGF492" s="106"/>
      <c r="QGG492" s="106"/>
      <c r="QGH492" s="106"/>
      <c r="QGI492" s="106"/>
      <c r="QGJ492" s="106"/>
      <c r="QGK492" s="106"/>
      <c r="QGL492" s="106"/>
      <c r="QGM492" s="106"/>
      <c r="QGN492" s="106"/>
      <c r="QGO492" s="106"/>
      <c r="QGP492" s="106"/>
      <c r="QGQ492" s="106"/>
      <c r="QGR492" s="106"/>
      <c r="QGS492" s="106"/>
      <c r="QGT492" s="106"/>
      <c r="QGU492" s="106"/>
      <c r="QGV492" s="106"/>
      <c r="QGW492" s="106"/>
      <c r="QGX492" s="106"/>
      <c r="QGY492" s="106"/>
      <c r="QGZ492" s="106"/>
      <c r="QHA492" s="106"/>
      <c r="QHB492" s="106"/>
      <c r="QHC492" s="106"/>
      <c r="QHD492" s="106"/>
      <c r="QHE492" s="106"/>
      <c r="QHF492" s="106"/>
      <c r="QHG492" s="106"/>
      <c r="QHH492" s="106"/>
      <c r="QHI492" s="106"/>
      <c r="QHJ492" s="106"/>
      <c r="QHK492" s="106"/>
      <c r="QHL492" s="106"/>
      <c r="QHM492" s="106"/>
      <c r="QHN492" s="106"/>
      <c r="QHO492" s="106"/>
      <c r="QHP492" s="106"/>
      <c r="QHQ492" s="106"/>
      <c r="QHR492" s="106"/>
      <c r="QHS492" s="106"/>
      <c r="QHT492" s="106"/>
      <c r="QHU492" s="106"/>
      <c r="QHV492" s="106"/>
      <c r="QHW492" s="106"/>
      <c r="QHX492" s="106"/>
      <c r="QHY492" s="106"/>
      <c r="QHZ492" s="106"/>
      <c r="QIA492" s="106"/>
      <c r="QIB492" s="106"/>
      <c r="QIC492" s="106"/>
      <c r="QID492" s="106"/>
      <c r="QIE492" s="106"/>
      <c r="QIF492" s="106"/>
      <c r="QIG492" s="106"/>
      <c r="QIH492" s="106"/>
      <c r="QII492" s="106"/>
      <c r="QIJ492" s="106"/>
      <c r="QIK492" s="106"/>
      <c r="QIL492" s="106"/>
      <c r="QIM492" s="106"/>
      <c r="QIN492" s="106"/>
      <c r="QIO492" s="106"/>
      <c r="QIP492" s="106"/>
      <c r="QIQ492" s="106"/>
      <c r="QIR492" s="106"/>
      <c r="QIS492" s="106"/>
      <c r="QIT492" s="106"/>
      <c r="QIU492" s="106"/>
      <c r="QIV492" s="106"/>
      <c r="QIW492" s="106"/>
      <c r="QIX492" s="106"/>
      <c r="QIY492" s="106"/>
      <c r="QIZ492" s="106"/>
      <c r="QJA492" s="106"/>
      <c r="QJB492" s="106"/>
      <c r="QJC492" s="106"/>
      <c r="QJD492" s="106"/>
      <c r="QJE492" s="106"/>
      <c r="QJF492" s="106"/>
      <c r="QJG492" s="106"/>
      <c r="QJH492" s="106"/>
      <c r="QJI492" s="106"/>
      <c r="QJJ492" s="106"/>
      <c r="QJK492" s="106"/>
      <c r="QJL492" s="106"/>
      <c r="QJM492" s="106"/>
      <c r="QJN492" s="106"/>
      <c r="QJO492" s="106"/>
      <c r="QJP492" s="106"/>
      <c r="QJQ492" s="106"/>
      <c r="QJR492" s="106"/>
      <c r="QJS492" s="106"/>
      <c r="QJT492" s="106"/>
      <c r="QJU492" s="106"/>
      <c r="QJV492" s="106"/>
      <c r="QJW492" s="106"/>
      <c r="QJX492" s="106"/>
      <c r="QJY492" s="106"/>
      <c r="QJZ492" s="106"/>
      <c r="QKA492" s="106"/>
      <c r="QKB492" s="106"/>
      <c r="QKC492" s="106"/>
      <c r="QKD492" s="106"/>
      <c r="QKE492" s="106"/>
      <c r="QKF492" s="106"/>
      <c r="QKG492" s="106"/>
      <c r="QKH492" s="106"/>
      <c r="QKI492" s="106"/>
      <c r="QKJ492" s="106"/>
      <c r="QKK492" s="106"/>
      <c r="QKL492" s="106"/>
      <c r="QKM492" s="106"/>
      <c r="QKN492" s="106"/>
      <c r="QKO492" s="106"/>
      <c r="QKP492" s="106"/>
      <c r="QKQ492" s="106"/>
      <c r="QKR492" s="106"/>
      <c r="QKS492" s="106"/>
      <c r="QKT492" s="106"/>
      <c r="QKU492" s="106"/>
      <c r="QKV492" s="106"/>
      <c r="QKW492" s="106"/>
      <c r="QKX492" s="106"/>
      <c r="QKY492" s="106"/>
      <c r="QKZ492" s="106"/>
      <c r="QLA492" s="106"/>
      <c r="QLB492" s="106"/>
      <c r="QLC492" s="106"/>
      <c r="QLD492" s="106"/>
      <c r="QLE492" s="106"/>
      <c r="QLF492" s="106"/>
      <c r="QLG492" s="106"/>
      <c r="QLH492" s="106"/>
      <c r="QLI492" s="106"/>
      <c r="QLJ492" s="106"/>
      <c r="QLK492" s="106"/>
      <c r="QLL492" s="106"/>
      <c r="QLM492" s="106"/>
      <c r="QLN492" s="106"/>
      <c r="QLO492" s="106"/>
      <c r="QLP492" s="106"/>
      <c r="QLQ492" s="106"/>
      <c r="QLR492" s="106"/>
      <c r="QLS492" s="106"/>
      <c r="QLT492" s="106"/>
      <c r="QLU492" s="106"/>
      <c r="QLV492" s="106"/>
      <c r="QLW492" s="106"/>
      <c r="QLX492" s="106"/>
      <c r="QLY492" s="106"/>
      <c r="QLZ492" s="106"/>
      <c r="QMA492" s="106"/>
      <c r="QMB492" s="106"/>
      <c r="QMC492" s="106"/>
      <c r="QMD492" s="106"/>
      <c r="QME492" s="106"/>
      <c r="QMF492" s="106"/>
      <c r="QMG492" s="106"/>
      <c r="QMH492" s="106"/>
      <c r="QMI492" s="106"/>
      <c r="QMJ492" s="106"/>
      <c r="QMK492" s="106"/>
      <c r="QML492" s="106"/>
      <c r="QMM492" s="106"/>
      <c r="QMN492" s="106"/>
      <c r="QMO492" s="106"/>
      <c r="QMP492" s="106"/>
      <c r="QMQ492" s="106"/>
      <c r="QMR492" s="106"/>
      <c r="QMS492" s="106"/>
      <c r="QMT492" s="106"/>
      <c r="QMU492" s="106"/>
      <c r="QMV492" s="106"/>
      <c r="QMW492" s="106"/>
      <c r="QMX492" s="106"/>
      <c r="QMY492" s="106"/>
      <c r="QMZ492" s="106"/>
      <c r="QNA492" s="106"/>
      <c r="QNB492" s="106"/>
      <c r="QNC492" s="106"/>
      <c r="QND492" s="106"/>
      <c r="QNE492" s="106"/>
      <c r="QNF492" s="106"/>
      <c r="QNG492" s="106"/>
      <c r="QNH492" s="106"/>
      <c r="QNI492" s="106"/>
      <c r="QNJ492" s="106"/>
      <c r="QNK492" s="106"/>
      <c r="QNL492" s="106"/>
      <c r="QNM492" s="106"/>
      <c r="QNN492" s="106"/>
      <c r="QNO492" s="106"/>
      <c r="QNP492" s="106"/>
      <c r="QNQ492" s="106"/>
      <c r="QNR492" s="106"/>
      <c r="QNS492" s="106"/>
      <c r="QNT492" s="106"/>
      <c r="QNU492" s="106"/>
      <c r="QNV492" s="106"/>
      <c r="QNW492" s="106"/>
      <c r="QNX492" s="106"/>
      <c r="QNY492" s="106"/>
      <c r="QNZ492" s="106"/>
      <c r="QOA492" s="106"/>
      <c r="QOB492" s="106"/>
      <c r="QOC492" s="106"/>
      <c r="QOD492" s="106"/>
      <c r="QOE492" s="106"/>
      <c r="QOF492" s="106"/>
      <c r="QOG492" s="106"/>
      <c r="QOH492" s="106"/>
      <c r="QOI492" s="106"/>
      <c r="QOJ492" s="106"/>
      <c r="QOK492" s="106"/>
      <c r="QOL492" s="106"/>
      <c r="QOM492" s="106"/>
      <c r="QON492" s="106"/>
      <c r="QOO492" s="106"/>
      <c r="QOP492" s="106"/>
      <c r="QOQ492" s="106"/>
      <c r="QOR492" s="106"/>
      <c r="QOS492" s="106"/>
      <c r="QOT492" s="106"/>
      <c r="QOU492" s="106"/>
      <c r="QOV492" s="106"/>
      <c r="QOW492" s="106"/>
      <c r="QOX492" s="106"/>
      <c r="QOY492" s="106"/>
      <c r="QOZ492" s="106"/>
      <c r="QPA492" s="106"/>
      <c r="QPB492" s="106"/>
      <c r="QPC492" s="106"/>
      <c r="QPD492" s="106"/>
      <c r="QPE492" s="106"/>
      <c r="QPF492" s="106"/>
      <c r="QPG492" s="106"/>
      <c r="QPH492" s="106"/>
      <c r="QPI492" s="106"/>
      <c r="QPJ492" s="106"/>
      <c r="QPK492" s="106"/>
      <c r="QPL492" s="106"/>
      <c r="QPM492" s="106"/>
      <c r="QPN492" s="106"/>
      <c r="QPO492" s="106"/>
      <c r="QPP492" s="106"/>
      <c r="QPQ492" s="106"/>
      <c r="QPR492" s="106"/>
      <c r="QPS492" s="106"/>
      <c r="QPT492" s="106"/>
      <c r="QPU492" s="106"/>
      <c r="QPV492" s="106"/>
      <c r="QPW492" s="106"/>
      <c r="QPX492" s="106"/>
      <c r="QPY492" s="106"/>
      <c r="QPZ492" s="106"/>
      <c r="QQA492" s="106"/>
      <c r="QQB492" s="106"/>
      <c r="QQC492" s="106"/>
      <c r="QQD492" s="106"/>
      <c r="QQE492" s="106"/>
      <c r="QQF492" s="106"/>
      <c r="QQG492" s="106"/>
      <c r="QQH492" s="106"/>
      <c r="QQI492" s="106"/>
      <c r="QQJ492" s="106"/>
      <c r="QQK492" s="106"/>
      <c r="QQL492" s="106"/>
      <c r="QQM492" s="106"/>
      <c r="QQN492" s="106"/>
      <c r="QQO492" s="106"/>
      <c r="QQP492" s="106"/>
      <c r="QQQ492" s="106"/>
      <c r="QQR492" s="106"/>
      <c r="QQS492" s="106"/>
      <c r="QQT492" s="106"/>
      <c r="QQU492" s="106"/>
      <c r="QQV492" s="106"/>
      <c r="QQW492" s="106"/>
      <c r="QQX492" s="106"/>
      <c r="QQY492" s="106"/>
      <c r="QQZ492" s="106"/>
      <c r="QRA492" s="106"/>
      <c r="QRB492" s="106"/>
      <c r="QRC492" s="106"/>
      <c r="QRD492" s="106"/>
      <c r="QRE492" s="106"/>
      <c r="QRF492" s="106"/>
      <c r="QRG492" s="106"/>
      <c r="QRH492" s="106"/>
      <c r="QRI492" s="106"/>
      <c r="QRJ492" s="106"/>
      <c r="QRK492" s="106"/>
      <c r="QRL492" s="106"/>
      <c r="QRM492" s="106"/>
      <c r="QRN492" s="106"/>
      <c r="QRO492" s="106"/>
      <c r="QRP492" s="106"/>
      <c r="QRQ492" s="106"/>
      <c r="QRR492" s="106"/>
      <c r="QRS492" s="106"/>
      <c r="QRT492" s="106"/>
      <c r="QRU492" s="106"/>
      <c r="QRV492" s="106"/>
      <c r="QRW492" s="106"/>
      <c r="QRX492" s="106"/>
      <c r="QRY492" s="106"/>
      <c r="QRZ492" s="106"/>
      <c r="QSA492" s="106"/>
      <c r="QSB492" s="106"/>
      <c r="QSC492" s="106"/>
      <c r="QSD492" s="106"/>
      <c r="QSE492" s="106"/>
      <c r="QSF492" s="106"/>
      <c r="QSG492" s="106"/>
      <c r="QSH492" s="106"/>
      <c r="QSI492" s="106"/>
      <c r="QSJ492" s="106"/>
      <c r="QSK492" s="106"/>
      <c r="QSL492" s="106"/>
      <c r="QSM492" s="106"/>
      <c r="QSN492" s="106"/>
      <c r="QSO492" s="106"/>
      <c r="QSP492" s="106"/>
      <c r="QSQ492" s="106"/>
      <c r="QSR492" s="106"/>
      <c r="QSS492" s="106"/>
      <c r="QST492" s="106"/>
      <c r="QSU492" s="106"/>
      <c r="QSV492" s="106"/>
      <c r="QSW492" s="106"/>
      <c r="QSX492" s="106"/>
      <c r="QSY492" s="106"/>
      <c r="QSZ492" s="106"/>
      <c r="QTA492" s="106"/>
      <c r="QTB492" s="106"/>
      <c r="QTC492" s="106"/>
      <c r="QTD492" s="106"/>
      <c r="QTE492" s="106"/>
      <c r="QTF492" s="106"/>
      <c r="QTG492" s="106"/>
      <c r="QTH492" s="106"/>
      <c r="QTI492" s="106"/>
      <c r="QTJ492" s="106"/>
      <c r="QTK492" s="106"/>
      <c r="QTL492" s="106"/>
      <c r="QTM492" s="106"/>
      <c r="QTN492" s="106"/>
      <c r="QTO492" s="106"/>
      <c r="QTP492" s="106"/>
      <c r="QTQ492" s="106"/>
      <c r="QTR492" s="106"/>
      <c r="QTS492" s="106"/>
      <c r="QTT492" s="106"/>
      <c r="QTU492" s="106"/>
      <c r="QTV492" s="106"/>
      <c r="QTW492" s="106"/>
      <c r="QTX492" s="106"/>
      <c r="QTY492" s="106"/>
      <c r="QTZ492" s="106"/>
      <c r="QUA492" s="106"/>
      <c r="QUB492" s="106"/>
      <c r="QUC492" s="106"/>
      <c r="QUD492" s="106"/>
      <c r="QUE492" s="106"/>
      <c r="QUF492" s="106"/>
      <c r="QUG492" s="106"/>
      <c r="QUH492" s="106"/>
      <c r="QUI492" s="106"/>
      <c r="QUJ492" s="106"/>
      <c r="QUK492" s="106"/>
      <c r="QUL492" s="106"/>
      <c r="QUM492" s="106"/>
      <c r="QUN492" s="106"/>
      <c r="QUO492" s="106"/>
      <c r="QUP492" s="106"/>
      <c r="QUQ492" s="106"/>
      <c r="QUR492" s="106"/>
      <c r="QUS492" s="106"/>
      <c r="QUT492" s="106"/>
      <c r="QUU492" s="106"/>
      <c r="QUV492" s="106"/>
      <c r="QUW492" s="106"/>
      <c r="QUX492" s="106"/>
      <c r="QUY492" s="106"/>
      <c r="QUZ492" s="106"/>
      <c r="QVA492" s="106"/>
      <c r="QVB492" s="106"/>
      <c r="QVC492" s="106"/>
      <c r="QVD492" s="106"/>
      <c r="QVE492" s="106"/>
      <c r="QVF492" s="106"/>
      <c r="QVG492" s="106"/>
      <c r="QVH492" s="106"/>
      <c r="QVI492" s="106"/>
      <c r="QVJ492" s="106"/>
      <c r="QVK492" s="106"/>
      <c r="QVL492" s="106"/>
      <c r="QVM492" s="106"/>
      <c r="QVN492" s="106"/>
      <c r="QVO492" s="106"/>
      <c r="QVP492" s="106"/>
      <c r="QVQ492" s="106"/>
      <c r="QVR492" s="106"/>
      <c r="QVS492" s="106"/>
      <c r="QVT492" s="106"/>
      <c r="QVU492" s="106"/>
      <c r="QVV492" s="106"/>
      <c r="QVW492" s="106"/>
      <c r="QVX492" s="106"/>
      <c r="QVY492" s="106"/>
      <c r="QVZ492" s="106"/>
      <c r="QWA492" s="106"/>
      <c r="QWB492" s="106"/>
      <c r="QWC492" s="106"/>
      <c r="QWD492" s="106"/>
      <c r="QWE492" s="106"/>
      <c r="QWF492" s="106"/>
      <c r="QWG492" s="106"/>
      <c r="QWH492" s="106"/>
      <c r="QWI492" s="106"/>
      <c r="QWJ492" s="106"/>
      <c r="QWK492" s="106"/>
      <c r="QWL492" s="106"/>
      <c r="QWM492" s="106"/>
      <c r="QWN492" s="106"/>
      <c r="QWO492" s="106"/>
      <c r="QWP492" s="106"/>
      <c r="QWQ492" s="106"/>
      <c r="QWR492" s="106"/>
      <c r="QWS492" s="106"/>
      <c r="QWT492" s="106"/>
      <c r="QWU492" s="106"/>
      <c r="QWV492" s="106"/>
      <c r="QWW492" s="106"/>
      <c r="QWX492" s="106"/>
      <c r="QWY492" s="106"/>
      <c r="QWZ492" s="106"/>
      <c r="QXA492" s="106"/>
      <c r="QXB492" s="106"/>
      <c r="QXC492" s="106"/>
      <c r="QXD492" s="106"/>
      <c r="QXE492" s="106"/>
      <c r="QXF492" s="106"/>
      <c r="QXG492" s="106"/>
      <c r="QXH492" s="106"/>
      <c r="QXI492" s="106"/>
      <c r="QXJ492" s="106"/>
      <c r="QXK492" s="106"/>
      <c r="QXL492" s="106"/>
      <c r="QXM492" s="106"/>
      <c r="QXN492" s="106"/>
      <c r="QXO492" s="106"/>
      <c r="QXP492" s="106"/>
      <c r="QXQ492" s="106"/>
      <c r="QXR492" s="106"/>
      <c r="QXS492" s="106"/>
      <c r="QXT492" s="106"/>
      <c r="QXU492" s="106"/>
      <c r="QXV492" s="106"/>
      <c r="QXW492" s="106"/>
      <c r="QXX492" s="106"/>
      <c r="QXY492" s="106"/>
      <c r="QXZ492" s="106"/>
      <c r="QYA492" s="106"/>
      <c r="QYB492" s="106"/>
      <c r="QYC492" s="106"/>
      <c r="QYD492" s="106"/>
      <c r="QYE492" s="106"/>
      <c r="QYF492" s="106"/>
      <c r="QYG492" s="106"/>
      <c r="QYH492" s="106"/>
      <c r="QYI492" s="106"/>
      <c r="QYJ492" s="106"/>
      <c r="QYK492" s="106"/>
      <c r="QYL492" s="106"/>
      <c r="QYM492" s="106"/>
      <c r="QYN492" s="106"/>
      <c r="QYO492" s="106"/>
      <c r="QYP492" s="106"/>
      <c r="QYQ492" s="106"/>
      <c r="QYR492" s="106"/>
      <c r="QYS492" s="106"/>
      <c r="QYT492" s="106"/>
      <c r="QYU492" s="106"/>
      <c r="QYV492" s="106"/>
      <c r="QYW492" s="106"/>
      <c r="QYX492" s="106"/>
      <c r="QYY492" s="106"/>
      <c r="QYZ492" s="106"/>
      <c r="QZA492" s="106"/>
      <c r="QZB492" s="106"/>
      <c r="QZC492" s="106"/>
      <c r="QZD492" s="106"/>
      <c r="QZE492" s="106"/>
      <c r="QZF492" s="106"/>
      <c r="QZG492" s="106"/>
      <c r="QZH492" s="106"/>
      <c r="QZI492" s="106"/>
      <c r="QZJ492" s="106"/>
      <c r="QZK492" s="106"/>
      <c r="QZL492" s="106"/>
      <c r="QZM492" s="106"/>
      <c r="QZN492" s="106"/>
      <c r="QZO492" s="106"/>
      <c r="QZP492" s="106"/>
      <c r="QZQ492" s="106"/>
      <c r="QZR492" s="106"/>
      <c r="QZS492" s="106"/>
      <c r="QZT492" s="106"/>
      <c r="QZU492" s="106"/>
      <c r="QZV492" s="106"/>
      <c r="QZW492" s="106"/>
      <c r="QZX492" s="106"/>
      <c r="QZY492" s="106"/>
      <c r="QZZ492" s="106"/>
      <c r="RAA492" s="106"/>
      <c r="RAB492" s="106"/>
      <c r="RAC492" s="106"/>
      <c r="RAD492" s="106"/>
      <c r="RAE492" s="106"/>
      <c r="RAF492" s="106"/>
      <c r="RAG492" s="106"/>
      <c r="RAH492" s="106"/>
      <c r="RAI492" s="106"/>
      <c r="RAJ492" s="106"/>
      <c r="RAK492" s="106"/>
      <c r="RAL492" s="106"/>
      <c r="RAM492" s="106"/>
      <c r="RAN492" s="106"/>
      <c r="RAO492" s="106"/>
      <c r="RAP492" s="106"/>
      <c r="RAQ492" s="106"/>
      <c r="RAR492" s="106"/>
      <c r="RAS492" s="106"/>
      <c r="RAT492" s="106"/>
      <c r="RAU492" s="106"/>
      <c r="RAV492" s="106"/>
      <c r="RAW492" s="106"/>
      <c r="RAX492" s="106"/>
      <c r="RAY492" s="106"/>
      <c r="RAZ492" s="106"/>
      <c r="RBA492" s="106"/>
      <c r="RBB492" s="106"/>
      <c r="RBC492" s="106"/>
      <c r="RBD492" s="106"/>
      <c r="RBE492" s="106"/>
      <c r="RBF492" s="106"/>
      <c r="RBG492" s="106"/>
      <c r="RBH492" s="106"/>
      <c r="RBI492" s="106"/>
      <c r="RBJ492" s="106"/>
      <c r="RBK492" s="106"/>
      <c r="RBL492" s="106"/>
      <c r="RBM492" s="106"/>
      <c r="RBN492" s="106"/>
      <c r="RBO492" s="106"/>
      <c r="RBP492" s="106"/>
      <c r="RBQ492" s="106"/>
      <c r="RBR492" s="106"/>
      <c r="RBS492" s="106"/>
      <c r="RBT492" s="106"/>
      <c r="RBU492" s="106"/>
      <c r="RBV492" s="106"/>
      <c r="RBW492" s="106"/>
      <c r="RBX492" s="106"/>
      <c r="RBY492" s="106"/>
      <c r="RBZ492" s="106"/>
      <c r="RCA492" s="106"/>
      <c r="RCB492" s="106"/>
      <c r="RCC492" s="106"/>
      <c r="RCD492" s="106"/>
      <c r="RCE492" s="106"/>
      <c r="RCF492" s="106"/>
      <c r="RCG492" s="106"/>
      <c r="RCH492" s="106"/>
      <c r="RCI492" s="106"/>
      <c r="RCJ492" s="106"/>
      <c r="RCK492" s="106"/>
      <c r="RCL492" s="106"/>
      <c r="RCM492" s="106"/>
      <c r="RCN492" s="106"/>
      <c r="RCO492" s="106"/>
      <c r="RCP492" s="106"/>
      <c r="RCQ492" s="106"/>
      <c r="RCR492" s="106"/>
      <c r="RCS492" s="106"/>
      <c r="RCT492" s="106"/>
      <c r="RCU492" s="106"/>
      <c r="RCV492" s="106"/>
      <c r="RCW492" s="106"/>
      <c r="RCX492" s="106"/>
      <c r="RCY492" s="106"/>
      <c r="RCZ492" s="106"/>
      <c r="RDA492" s="106"/>
      <c r="RDB492" s="106"/>
      <c r="RDC492" s="106"/>
      <c r="RDD492" s="106"/>
      <c r="RDE492" s="106"/>
      <c r="RDF492" s="106"/>
      <c r="RDG492" s="106"/>
      <c r="RDH492" s="106"/>
      <c r="RDI492" s="106"/>
      <c r="RDJ492" s="106"/>
      <c r="RDK492" s="106"/>
      <c r="RDL492" s="106"/>
      <c r="RDM492" s="106"/>
      <c r="RDN492" s="106"/>
      <c r="RDO492" s="106"/>
      <c r="RDP492" s="106"/>
      <c r="RDQ492" s="106"/>
      <c r="RDR492" s="106"/>
      <c r="RDS492" s="106"/>
      <c r="RDT492" s="106"/>
      <c r="RDU492" s="106"/>
      <c r="RDV492" s="106"/>
      <c r="RDW492" s="106"/>
      <c r="RDX492" s="106"/>
      <c r="RDY492" s="106"/>
      <c r="RDZ492" s="106"/>
      <c r="REA492" s="106"/>
      <c r="REB492" s="106"/>
      <c r="REC492" s="106"/>
      <c r="RED492" s="106"/>
      <c r="REE492" s="106"/>
      <c r="REF492" s="106"/>
      <c r="REG492" s="106"/>
      <c r="REH492" s="106"/>
      <c r="REI492" s="106"/>
      <c r="REJ492" s="106"/>
      <c r="REK492" s="106"/>
      <c r="REL492" s="106"/>
      <c r="REM492" s="106"/>
      <c r="REN492" s="106"/>
      <c r="REO492" s="106"/>
      <c r="REP492" s="106"/>
      <c r="REQ492" s="106"/>
      <c r="RER492" s="106"/>
      <c r="RES492" s="106"/>
      <c r="RET492" s="106"/>
      <c r="REU492" s="106"/>
      <c r="REV492" s="106"/>
      <c r="REW492" s="106"/>
      <c r="REX492" s="106"/>
      <c r="REY492" s="106"/>
      <c r="REZ492" s="106"/>
      <c r="RFA492" s="106"/>
      <c r="RFB492" s="106"/>
      <c r="RFC492" s="106"/>
      <c r="RFD492" s="106"/>
      <c r="RFE492" s="106"/>
      <c r="RFF492" s="106"/>
      <c r="RFG492" s="106"/>
      <c r="RFH492" s="106"/>
      <c r="RFI492" s="106"/>
      <c r="RFJ492" s="106"/>
      <c r="RFK492" s="106"/>
      <c r="RFL492" s="106"/>
      <c r="RFM492" s="106"/>
      <c r="RFN492" s="106"/>
      <c r="RFO492" s="106"/>
      <c r="RFP492" s="106"/>
      <c r="RFQ492" s="106"/>
      <c r="RFR492" s="106"/>
      <c r="RFS492" s="106"/>
      <c r="RFT492" s="106"/>
      <c r="RFU492" s="106"/>
      <c r="RFV492" s="106"/>
      <c r="RFW492" s="106"/>
      <c r="RFX492" s="106"/>
      <c r="RFY492" s="106"/>
      <c r="RFZ492" s="106"/>
      <c r="RGA492" s="106"/>
      <c r="RGB492" s="106"/>
      <c r="RGC492" s="106"/>
      <c r="RGD492" s="106"/>
      <c r="RGE492" s="106"/>
      <c r="RGF492" s="106"/>
      <c r="RGG492" s="106"/>
      <c r="RGH492" s="106"/>
      <c r="RGI492" s="106"/>
      <c r="RGJ492" s="106"/>
      <c r="RGK492" s="106"/>
      <c r="RGL492" s="106"/>
      <c r="RGM492" s="106"/>
      <c r="RGN492" s="106"/>
      <c r="RGO492" s="106"/>
      <c r="RGP492" s="106"/>
      <c r="RGQ492" s="106"/>
      <c r="RGR492" s="106"/>
      <c r="RGS492" s="106"/>
      <c r="RGT492" s="106"/>
      <c r="RGU492" s="106"/>
      <c r="RGV492" s="106"/>
      <c r="RGW492" s="106"/>
      <c r="RGX492" s="106"/>
      <c r="RGY492" s="106"/>
      <c r="RGZ492" s="106"/>
      <c r="RHA492" s="106"/>
      <c r="RHB492" s="106"/>
      <c r="RHC492" s="106"/>
      <c r="RHD492" s="106"/>
      <c r="RHE492" s="106"/>
      <c r="RHF492" s="106"/>
      <c r="RHG492" s="106"/>
      <c r="RHH492" s="106"/>
      <c r="RHI492" s="106"/>
      <c r="RHJ492" s="106"/>
      <c r="RHK492" s="106"/>
      <c r="RHL492" s="106"/>
      <c r="RHM492" s="106"/>
      <c r="RHN492" s="106"/>
      <c r="RHO492" s="106"/>
      <c r="RHP492" s="106"/>
      <c r="RHQ492" s="106"/>
      <c r="RHR492" s="106"/>
      <c r="RHS492" s="106"/>
      <c r="RHT492" s="106"/>
      <c r="RHU492" s="106"/>
      <c r="RHV492" s="106"/>
      <c r="RHW492" s="106"/>
      <c r="RHX492" s="106"/>
      <c r="RHY492" s="106"/>
      <c r="RHZ492" s="106"/>
      <c r="RIA492" s="106"/>
      <c r="RIB492" s="106"/>
      <c r="RIC492" s="106"/>
      <c r="RID492" s="106"/>
      <c r="RIE492" s="106"/>
      <c r="RIF492" s="106"/>
      <c r="RIG492" s="106"/>
      <c r="RIH492" s="106"/>
      <c r="RII492" s="106"/>
      <c r="RIJ492" s="106"/>
      <c r="RIK492" s="106"/>
      <c r="RIL492" s="106"/>
      <c r="RIM492" s="106"/>
      <c r="RIN492" s="106"/>
      <c r="RIO492" s="106"/>
      <c r="RIP492" s="106"/>
      <c r="RIQ492" s="106"/>
      <c r="RIR492" s="106"/>
      <c r="RIS492" s="106"/>
      <c r="RIT492" s="106"/>
      <c r="RIU492" s="106"/>
      <c r="RIV492" s="106"/>
      <c r="RIW492" s="106"/>
      <c r="RIX492" s="106"/>
      <c r="RIY492" s="106"/>
      <c r="RIZ492" s="106"/>
      <c r="RJA492" s="106"/>
      <c r="RJB492" s="106"/>
      <c r="RJC492" s="106"/>
      <c r="RJD492" s="106"/>
      <c r="RJE492" s="106"/>
      <c r="RJF492" s="106"/>
      <c r="RJG492" s="106"/>
      <c r="RJH492" s="106"/>
      <c r="RJI492" s="106"/>
      <c r="RJJ492" s="106"/>
      <c r="RJK492" s="106"/>
      <c r="RJL492" s="106"/>
      <c r="RJM492" s="106"/>
      <c r="RJN492" s="106"/>
      <c r="RJO492" s="106"/>
      <c r="RJP492" s="106"/>
      <c r="RJQ492" s="106"/>
      <c r="RJR492" s="106"/>
      <c r="RJS492" s="106"/>
      <c r="RJT492" s="106"/>
      <c r="RJU492" s="106"/>
      <c r="RJV492" s="106"/>
      <c r="RJW492" s="106"/>
      <c r="RJX492" s="106"/>
      <c r="RJY492" s="106"/>
      <c r="RJZ492" s="106"/>
      <c r="RKA492" s="106"/>
      <c r="RKB492" s="106"/>
      <c r="RKC492" s="106"/>
      <c r="RKD492" s="106"/>
      <c r="RKE492" s="106"/>
      <c r="RKF492" s="106"/>
      <c r="RKG492" s="106"/>
      <c r="RKH492" s="106"/>
      <c r="RKI492" s="106"/>
      <c r="RKJ492" s="106"/>
      <c r="RKK492" s="106"/>
      <c r="RKL492" s="106"/>
      <c r="RKM492" s="106"/>
      <c r="RKN492" s="106"/>
      <c r="RKO492" s="106"/>
      <c r="RKP492" s="106"/>
      <c r="RKQ492" s="106"/>
      <c r="RKR492" s="106"/>
      <c r="RKS492" s="106"/>
      <c r="RKT492" s="106"/>
      <c r="RKU492" s="106"/>
      <c r="RKV492" s="106"/>
      <c r="RKW492" s="106"/>
      <c r="RKX492" s="106"/>
      <c r="RKY492" s="106"/>
      <c r="RKZ492" s="106"/>
      <c r="RLA492" s="106"/>
      <c r="RLB492" s="106"/>
      <c r="RLC492" s="106"/>
      <c r="RLD492" s="106"/>
      <c r="RLE492" s="106"/>
      <c r="RLF492" s="106"/>
      <c r="RLG492" s="106"/>
      <c r="RLH492" s="106"/>
      <c r="RLI492" s="106"/>
      <c r="RLJ492" s="106"/>
      <c r="RLK492" s="106"/>
      <c r="RLL492" s="106"/>
      <c r="RLM492" s="106"/>
      <c r="RLN492" s="106"/>
      <c r="RLO492" s="106"/>
      <c r="RLP492" s="106"/>
      <c r="RLQ492" s="106"/>
      <c r="RLR492" s="106"/>
      <c r="RLS492" s="106"/>
      <c r="RLT492" s="106"/>
      <c r="RLU492" s="106"/>
      <c r="RLV492" s="106"/>
      <c r="RLW492" s="106"/>
      <c r="RLX492" s="106"/>
      <c r="RLY492" s="106"/>
      <c r="RLZ492" s="106"/>
      <c r="RMA492" s="106"/>
      <c r="RMB492" s="106"/>
      <c r="RMC492" s="106"/>
      <c r="RMD492" s="106"/>
      <c r="RME492" s="106"/>
      <c r="RMF492" s="106"/>
      <c r="RMG492" s="106"/>
      <c r="RMH492" s="106"/>
      <c r="RMI492" s="106"/>
      <c r="RMJ492" s="106"/>
      <c r="RMK492" s="106"/>
      <c r="RML492" s="106"/>
      <c r="RMM492" s="106"/>
      <c r="RMN492" s="106"/>
      <c r="RMO492" s="106"/>
      <c r="RMP492" s="106"/>
      <c r="RMQ492" s="106"/>
      <c r="RMR492" s="106"/>
      <c r="RMS492" s="106"/>
      <c r="RMT492" s="106"/>
      <c r="RMU492" s="106"/>
      <c r="RMV492" s="106"/>
      <c r="RMW492" s="106"/>
      <c r="RMX492" s="106"/>
      <c r="RMY492" s="106"/>
      <c r="RMZ492" s="106"/>
      <c r="RNA492" s="106"/>
      <c r="RNB492" s="106"/>
      <c r="RNC492" s="106"/>
      <c r="RND492" s="106"/>
      <c r="RNE492" s="106"/>
      <c r="RNF492" s="106"/>
      <c r="RNG492" s="106"/>
      <c r="RNH492" s="106"/>
      <c r="RNI492" s="106"/>
      <c r="RNJ492" s="106"/>
      <c r="RNK492" s="106"/>
      <c r="RNL492" s="106"/>
      <c r="RNM492" s="106"/>
      <c r="RNN492" s="106"/>
      <c r="RNO492" s="106"/>
      <c r="RNP492" s="106"/>
      <c r="RNQ492" s="106"/>
      <c r="RNR492" s="106"/>
      <c r="RNS492" s="106"/>
      <c r="RNT492" s="106"/>
      <c r="RNU492" s="106"/>
      <c r="RNV492" s="106"/>
      <c r="RNW492" s="106"/>
      <c r="RNX492" s="106"/>
      <c r="RNY492" s="106"/>
      <c r="RNZ492" s="106"/>
      <c r="ROA492" s="106"/>
      <c r="ROB492" s="106"/>
      <c r="ROC492" s="106"/>
      <c r="ROD492" s="106"/>
      <c r="ROE492" s="106"/>
      <c r="ROF492" s="106"/>
      <c r="ROG492" s="106"/>
      <c r="ROH492" s="106"/>
      <c r="ROI492" s="106"/>
      <c r="ROJ492" s="106"/>
      <c r="ROK492" s="106"/>
      <c r="ROL492" s="106"/>
      <c r="ROM492" s="106"/>
      <c r="RON492" s="106"/>
      <c r="ROO492" s="106"/>
      <c r="ROP492" s="106"/>
      <c r="ROQ492" s="106"/>
      <c r="ROR492" s="106"/>
      <c r="ROS492" s="106"/>
      <c r="ROT492" s="106"/>
      <c r="ROU492" s="106"/>
      <c r="ROV492" s="106"/>
      <c r="ROW492" s="106"/>
      <c r="ROX492" s="106"/>
      <c r="ROY492" s="106"/>
      <c r="ROZ492" s="106"/>
      <c r="RPA492" s="106"/>
      <c r="RPB492" s="106"/>
      <c r="RPC492" s="106"/>
      <c r="RPD492" s="106"/>
      <c r="RPE492" s="106"/>
      <c r="RPF492" s="106"/>
      <c r="RPG492" s="106"/>
      <c r="RPH492" s="106"/>
      <c r="RPI492" s="106"/>
      <c r="RPJ492" s="106"/>
      <c r="RPK492" s="106"/>
      <c r="RPL492" s="106"/>
      <c r="RPM492" s="106"/>
      <c r="RPN492" s="106"/>
      <c r="RPO492" s="106"/>
      <c r="RPP492" s="106"/>
      <c r="RPQ492" s="106"/>
      <c r="RPR492" s="106"/>
      <c r="RPS492" s="106"/>
      <c r="RPT492" s="106"/>
      <c r="RPU492" s="106"/>
      <c r="RPV492" s="106"/>
      <c r="RPW492" s="106"/>
      <c r="RPX492" s="106"/>
      <c r="RPY492" s="106"/>
      <c r="RPZ492" s="106"/>
      <c r="RQA492" s="106"/>
      <c r="RQB492" s="106"/>
      <c r="RQC492" s="106"/>
      <c r="RQD492" s="106"/>
      <c r="RQE492" s="106"/>
      <c r="RQF492" s="106"/>
      <c r="RQG492" s="106"/>
      <c r="RQH492" s="106"/>
      <c r="RQI492" s="106"/>
      <c r="RQJ492" s="106"/>
      <c r="RQK492" s="106"/>
      <c r="RQL492" s="106"/>
      <c r="RQM492" s="106"/>
      <c r="RQN492" s="106"/>
      <c r="RQO492" s="106"/>
      <c r="RQP492" s="106"/>
      <c r="RQQ492" s="106"/>
      <c r="RQR492" s="106"/>
      <c r="RQS492" s="106"/>
      <c r="RQT492" s="106"/>
      <c r="RQU492" s="106"/>
      <c r="RQV492" s="106"/>
      <c r="RQW492" s="106"/>
      <c r="RQX492" s="106"/>
      <c r="RQY492" s="106"/>
      <c r="RQZ492" s="106"/>
      <c r="RRA492" s="106"/>
      <c r="RRB492" s="106"/>
      <c r="RRC492" s="106"/>
      <c r="RRD492" s="106"/>
      <c r="RRE492" s="106"/>
      <c r="RRF492" s="106"/>
      <c r="RRG492" s="106"/>
      <c r="RRH492" s="106"/>
      <c r="RRI492" s="106"/>
      <c r="RRJ492" s="106"/>
      <c r="RRK492" s="106"/>
      <c r="RRL492" s="106"/>
      <c r="RRM492" s="106"/>
      <c r="RRN492" s="106"/>
      <c r="RRO492" s="106"/>
      <c r="RRP492" s="106"/>
      <c r="RRQ492" s="106"/>
      <c r="RRR492" s="106"/>
      <c r="RRS492" s="106"/>
      <c r="RRT492" s="106"/>
      <c r="RRU492" s="106"/>
      <c r="RRV492" s="106"/>
      <c r="RRW492" s="106"/>
      <c r="RRX492" s="106"/>
      <c r="RRY492" s="106"/>
      <c r="RRZ492" s="106"/>
      <c r="RSA492" s="106"/>
      <c r="RSB492" s="106"/>
      <c r="RSC492" s="106"/>
      <c r="RSD492" s="106"/>
      <c r="RSE492" s="106"/>
      <c r="RSF492" s="106"/>
      <c r="RSG492" s="106"/>
      <c r="RSH492" s="106"/>
      <c r="RSI492" s="106"/>
      <c r="RSJ492" s="106"/>
      <c r="RSK492" s="106"/>
      <c r="RSL492" s="106"/>
      <c r="RSM492" s="106"/>
      <c r="RSN492" s="106"/>
      <c r="RSO492" s="106"/>
      <c r="RSP492" s="106"/>
      <c r="RSQ492" s="106"/>
      <c r="RSR492" s="106"/>
      <c r="RSS492" s="106"/>
      <c r="RST492" s="106"/>
      <c r="RSU492" s="106"/>
      <c r="RSV492" s="106"/>
      <c r="RSW492" s="106"/>
      <c r="RSX492" s="106"/>
      <c r="RSY492" s="106"/>
      <c r="RSZ492" s="106"/>
      <c r="RTA492" s="106"/>
      <c r="RTB492" s="106"/>
      <c r="RTC492" s="106"/>
      <c r="RTD492" s="106"/>
      <c r="RTE492" s="106"/>
      <c r="RTF492" s="106"/>
      <c r="RTG492" s="106"/>
      <c r="RTH492" s="106"/>
      <c r="RTI492" s="106"/>
      <c r="RTJ492" s="106"/>
      <c r="RTK492" s="106"/>
      <c r="RTL492" s="106"/>
      <c r="RTM492" s="106"/>
      <c r="RTN492" s="106"/>
      <c r="RTO492" s="106"/>
      <c r="RTP492" s="106"/>
      <c r="RTQ492" s="106"/>
      <c r="RTR492" s="106"/>
      <c r="RTS492" s="106"/>
      <c r="RTT492" s="106"/>
      <c r="RTU492" s="106"/>
      <c r="RTV492" s="106"/>
      <c r="RTW492" s="106"/>
      <c r="RTX492" s="106"/>
      <c r="RTY492" s="106"/>
      <c r="RTZ492" s="106"/>
      <c r="RUA492" s="106"/>
      <c r="RUB492" s="106"/>
      <c r="RUC492" s="106"/>
      <c r="RUD492" s="106"/>
      <c r="RUE492" s="106"/>
      <c r="RUF492" s="106"/>
      <c r="RUG492" s="106"/>
      <c r="RUH492" s="106"/>
      <c r="RUI492" s="106"/>
      <c r="RUJ492" s="106"/>
      <c r="RUK492" s="106"/>
      <c r="RUL492" s="106"/>
      <c r="RUM492" s="106"/>
      <c r="RUN492" s="106"/>
      <c r="RUO492" s="106"/>
      <c r="RUP492" s="106"/>
      <c r="RUQ492" s="106"/>
      <c r="RUR492" s="106"/>
      <c r="RUS492" s="106"/>
      <c r="RUT492" s="106"/>
      <c r="RUU492" s="106"/>
      <c r="RUV492" s="106"/>
      <c r="RUW492" s="106"/>
      <c r="RUX492" s="106"/>
      <c r="RUY492" s="106"/>
      <c r="RUZ492" s="106"/>
      <c r="RVA492" s="106"/>
      <c r="RVB492" s="106"/>
      <c r="RVC492" s="106"/>
      <c r="RVD492" s="106"/>
      <c r="RVE492" s="106"/>
      <c r="RVF492" s="106"/>
      <c r="RVG492" s="106"/>
      <c r="RVH492" s="106"/>
      <c r="RVI492" s="106"/>
      <c r="RVJ492" s="106"/>
      <c r="RVK492" s="106"/>
      <c r="RVL492" s="106"/>
      <c r="RVM492" s="106"/>
      <c r="RVN492" s="106"/>
      <c r="RVO492" s="106"/>
      <c r="RVP492" s="106"/>
      <c r="RVQ492" s="106"/>
      <c r="RVR492" s="106"/>
      <c r="RVS492" s="106"/>
      <c r="RVT492" s="106"/>
      <c r="RVU492" s="106"/>
      <c r="RVV492" s="106"/>
      <c r="RVW492" s="106"/>
      <c r="RVX492" s="106"/>
      <c r="RVY492" s="106"/>
      <c r="RVZ492" s="106"/>
      <c r="RWA492" s="106"/>
      <c r="RWB492" s="106"/>
      <c r="RWC492" s="106"/>
      <c r="RWD492" s="106"/>
      <c r="RWE492" s="106"/>
      <c r="RWF492" s="106"/>
      <c r="RWG492" s="106"/>
      <c r="RWH492" s="106"/>
      <c r="RWI492" s="106"/>
      <c r="RWJ492" s="106"/>
      <c r="RWK492" s="106"/>
      <c r="RWL492" s="106"/>
      <c r="RWM492" s="106"/>
      <c r="RWN492" s="106"/>
      <c r="RWO492" s="106"/>
      <c r="RWP492" s="106"/>
      <c r="RWQ492" s="106"/>
      <c r="RWR492" s="106"/>
      <c r="RWS492" s="106"/>
      <c r="RWT492" s="106"/>
      <c r="RWU492" s="106"/>
      <c r="RWV492" s="106"/>
      <c r="RWW492" s="106"/>
      <c r="RWX492" s="106"/>
      <c r="RWY492" s="106"/>
      <c r="RWZ492" s="106"/>
      <c r="RXA492" s="106"/>
      <c r="RXB492" s="106"/>
      <c r="RXC492" s="106"/>
      <c r="RXD492" s="106"/>
      <c r="RXE492" s="106"/>
      <c r="RXF492" s="106"/>
      <c r="RXG492" s="106"/>
      <c r="RXH492" s="106"/>
      <c r="RXI492" s="106"/>
      <c r="RXJ492" s="106"/>
      <c r="RXK492" s="106"/>
      <c r="RXL492" s="106"/>
      <c r="RXM492" s="106"/>
      <c r="RXN492" s="106"/>
      <c r="RXO492" s="106"/>
      <c r="RXP492" s="106"/>
      <c r="RXQ492" s="106"/>
      <c r="RXR492" s="106"/>
      <c r="RXS492" s="106"/>
      <c r="RXT492" s="106"/>
      <c r="RXU492" s="106"/>
      <c r="RXV492" s="106"/>
      <c r="RXW492" s="106"/>
      <c r="RXX492" s="106"/>
      <c r="RXY492" s="106"/>
      <c r="RXZ492" s="106"/>
      <c r="RYA492" s="106"/>
      <c r="RYB492" s="106"/>
      <c r="RYC492" s="106"/>
      <c r="RYD492" s="106"/>
      <c r="RYE492" s="106"/>
      <c r="RYF492" s="106"/>
      <c r="RYG492" s="106"/>
      <c r="RYH492" s="106"/>
      <c r="RYI492" s="106"/>
      <c r="RYJ492" s="106"/>
      <c r="RYK492" s="106"/>
      <c r="RYL492" s="106"/>
      <c r="RYM492" s="106"/>
      <c r="RYN492" s="106"/>
      <c r="RYO492" s="106"/>
      <c r="RYP492" s="106"/>
      <c r="RYQ492" s="106"/>
      <c r="RYR492" s="106"/>
      <c r="RYS492" s="106"/>
      <c r="RYT492" s="106"/>
      <c r="RYU492" s="106"/>
      <c r="RYV492" s="106"/>
      <c r="RYW492" s="106"/>
      <c r="RYX492" s="106"/>
      <c r="RYY492" s="106"/>
      <c r="RYZ492" s="106"/>
      <c r="RZA492" s="106"/>
      <c r="RZB492" s="106"/>
      <c r="RZC492" s="106"/>
      <c r="RZD492" s="106"/>
      <c r="RZE492" s="106"/>
      <c r="RZF492" s="106"/>
      <c r="RZG492" s="106"/>
      <c r="RZH492" s="106"/>
      <c r="RZI492" s="106"/>
      <c r="RZJ492" s="106"/>
      <c r="RZK492" s="106"/>
      <c r="RZL492" s="106"/>
      <c r="RZM492" s="106"/>
      <c r="RZN492" s="106"/>
      <c r="RZO492" s="106"/>
      <c r="RZP492" s="106"/>
      <c r="RZQ492" s="106"/>
      <c r="RZR492" s="106"/>
      <c r="RZS492" s="106"/>
      <c r="RZT492" s="106"/>
      <c r="RZU492" s="106"/>
      <c r="RZV492" s="106"/>
      <c r="RZW492" s="106"/>
      <c r="RZX492" s="106"/>
      <c r="RZY492" s="106"/>
      <c r="RZZ492" s="106"/>
      <c r="SAA492" s="106"/>
      <c r="SAB492" s="106"/>
      <c r="SAC492" s="106"/>
      <c r="SAD492" s="106"/>
      <c r="SAE492" s="106"/>
      <c r="SAF492" s="106"/>
      <c r="SAG492" s="106"/>
      <c r="SAH492" s="106"/>
      <c r="SAI492" s="106"/>
      <c r="SAJ492" s="106"/>
      <c r="SAK492" s="106"/>
      <c r="SAL492" s="106"/>
      <c r="SAM492" s="106"/>
      <c r="SAN492" s="106"/>
      <c r="SAO492" s="106"/>
      <c r="SAP492" s="106"/>
      <c r="SAQ492" s="106"/>
      <c r="SAR492" s="106"/>
      <c r="SAS492" s="106"/>
      <c r="SAT492" s="106"/>
      <c r="SAU492" s="106"/>
      <c r="SAV492" s="106"/>
      <c r="SAW492" s="106"/>
      <c r="SAX492" s="106"/>
      <c r="SAY492" s="106"/>
      <c r="SAZ492" s="106"/>
      <c r="SBA492" s="106"/>
      <c r="SBB492" s="106"/>
      <c r="SBC492" s="106"/>
      <c r="SBD492" s="106"/>
      <c r="SBE492" s="106"/>
      <c r="SBF492" s="106"/>
      <c r="SBG492" s="106"/>
      <c r="SBH492" s="106"/>
      <c r="SBI492" s="106"/>
      <c r="SBJ492" s="106"/>
      <c r="SBK492" s="106"/>
      <c r="SBL492" s="106"/>
      <c r="SBM492" s="106"/>
      <c r="SBN492" s="106"/>
      <c r="SBO492" s="106"/>
      <c r="SBP492" s="106"/>
      <c r="SBQ492" s="106"/>
      <c r="SBR492" s="106"/>
      <c r="SBS492" s="106"/>
      <c r="SBT492" s="106"/>
      <c r="SBU492" s="106"/>
      <c r="SBV492" s="106"/>
      <c r="SBW492" s="106"/>
      <c r="SBX492" s="106"/>
      <c r="SBY492" s="106"/>
      <c r="SBZ492" s="106"/>
      <c r="SCA492" s="106"/>
      <c r="SCB492" s="106"/>
      <c r="SCC492" s="106"/>
      <c r="SCD492" s="106"/>
      <c r="SCE492" s="106"/>
      <c r="SCF492" s="106"/>
      <c r="SCG492" s="106"/>
      <c r="SCH492" s="106"/>
      <c r="SCI492" s="106"/>
      <c r="SCJ492" s="106"/>
      <c r="SCK492" s="106"/>
      <c r="SCL492" s="106"/>
      <c r="SCM492" s="106"/>
      <c r="SCN492" s="106"/>
      <c r="SCO492" s="106"/>
      <c r="SCP492" s="106"/>
      <c r="SCQ492" s="106"/>
      <c r="SCR492" s="106"/>
      <c r="SCS492" s="106"/>
      <c r="SCT492" s="106"/>
      <c r="SCU492" s="106"/>
      <c r="SCV492" s="106"/>
      <c r="SCW492" s="106"/>
      <c r="SCX492" s="106"/>
      <c r="SCY492" s="106"/>
      <c r="SCZ492" s="106"/>
      <c r="SDA492" s="106"/>
      <c r="SDB492" s="106"/>
      <c r="SDC492" s="106"/>
      <c r="SDD492" s="106"/>
      <c r="SDE492" s="106"/>
      <c r="SDF492" s="106"/>
      <c r="SDG492" s="106"/>
      <c r="SDH492" s="106"/>
      <c r="SDI492" s="106"/>
      <c r="SDJ492" s="106"/>
      <c r="SDK492" s="106"/>
      <c r="SDL492" s="106"/>
      <c r="SDM492" s="106"/>
      <c r="SDN492" s="106"/>
      <c r="SDO492" s="106"/>
      <c r="SDP492" s="106"/>
      <c r="SDQ492" s="106"/>
      <c r="SDR492" s="106"/>
      <c r="SDS492" s="106"/>
      <c r="SDT492" s="106"/>
      <c r="SDU492" s="106"/>
      <c r="SDV492" s="106"/>
      <c r="SDW492" s="106"/>
      <c r="SDX492" s="106"/>
      <c r="SDY492" s="106"/>
      <c r="SDZ492" s="106"/>
      <c r="SEA492" s="106"/>
      <c r="SEB492" s="106"/>
      <c r="SEC492" s="106"/>
      <c r="SED492" s="106"/>
      <c r="SEE492" s="106"/>
      <c r="SEF492" s="106"/>
      <c r="SEG492" s="106"/>
      <c r="SEH492" s="106"/>
      <c r="SEI492" s="106"/>
      <c r="SEJ492" s="106"/>
      <c r="SEK492" s="106"/>
      <c r="SEL492" s="106"/>
      <c r="SEM492" s="106"/>
      <c r="SEN492" s="106"/>
      <c r="SEO492" s="106"/>
      <c r="SEP492" s="106"/>
      <c r="SEQ492" s="106"/>
      <c r="SER492" s="106"/>
      <c r="SES492" s="106"/>
      <c r="SET492" s="106"/>
      <c r="SEU492" s="106"/>
      <c r="SEV492" s="106"/>
      <c r="SEW492" s="106"/>
      <c r="SEX492" s="106"/>
      <c r="SEY492" s="106"/>
      <c r="SEZ492" s="106"/>
      <c r="SFA492" s="106"/>
      <c r="SFB492" s="106"/>
      <c r="SFC492" s="106"/>
      <c r="SFD492" s="106"/>
      <c r="SFE492" s="106"/>
      <c r="SFF492" s="106"/>
      <c r="SFG492" s="106"/>
      <c r="SFH492" s="106"/>
      <c r="SFI492" s="106"/>
      <c r="SFJ492" s="106"/>
      <c r="SFK492" s="106"/>
      <c r="SFL492" s="106"/>
      <c r="SFM492" s="106"/>
      <c r="SFN492" s="106"/>
      <c r="SFO492" s="106"/>
      <c r="SFP492" s="106"/>
      <c r="SFQ492" s="106"/>
      <c r="SFR492" s="106"/>
      <c r="SFS492" s="106"/>
      <c r="SFT492" s="106"/>
      <c r="SFU492" s="106"/>
      <c r="SFV492" s="106"/>
      <c r="SFW492" s="106"/>
      <c r="SFX492" s="106"/>
      <c r="SFY492" s="106"/>
      <c r="SFZ492" s="106"/>
      <c r="SGA492" s="106"/>
      <c r="SGB492" s="106"/>
      <c r="SGC492" s="106"/>
      <c r="SGD492" s="106"/>
      <c r="SGE492" s="106"/>
      <c r="SGF492" s="106"/>
      <c r="SGG492" s="106"/>
      <c r="SGH492" s="106"/>
      <c r="SGI492" s="106"/>
      <c r="SGJ492" s="106"/>
      <c r="SGK492" s="106"/>
      <c r="SGL492" s="106"/>
      <c r="SGM492" s="106"/>
      <c r="SGN492" s="106"/>
      <c r="SGO492" s="106"/>
      <c r="SGP492" s="106"/>
      <c r="SGQ492" s="106"/>
      <c r="SGR492" s="106"/>
      <c r="SGS492" s="106"/>
      <c r="SGT492" s="106"/>
      <c r="SGU492" s="106"/>
      <c r="SGV492" s="106"/>
      <c r="SGW492" s="106"/>
      <c r="SGX492" s="106"/>
      <c r="SGY492" s="106"/>
      <c r="SGZ492" s="106"/>
      <c r="SHA492" s="106"/>
      <c r="SHB492" s="106"/>
      <c r="SHC492" s="106"/>
      <c r="SHD492" s="106"/>
      <c r="SHE492" s="106"/>
      <c r="SHF492" s="106"/>
      <c r="SHG492" s="106"/>
      <c r="SHH492" s="106"/>
      <c r="SHI492" s="106"/>
      <c r="SHJ492" s="106"/>
      <c r="SHK492" s="106"/>
      <c r="SHL492" s="106"/>
      <c r="SHM492" s="106"/>
      <c r="SHN492" s="106"/>
      <c r="SHO492" s="106"/>
      <c r="SHP492" s="106"/>
      <c r="SHQ492" s="106"/>
      <c r="SHR492" s="106"/>
      <c r="SHS492" s="106"/>
      <c r="SHT492" s="106"/>
      <c r="SHU492" s="106"/>
      <c r="SHV492" s="106"/>
      <c r="SHW492" s="106"/>
      <c r="SHX492" s="106"/>
      <c r="SHY492" s="106"/>
      <c r="SHZ492" s="106"/>
      <c r="SIA492" s="106"/>
      <c r="SIB492" s="106"/>
      <c r="SIC492" s="106"/>
      <c r="SID492" s="106"/>
      <c r="SIE492" s="106"/>
      <c r="SIF492" s="106"/>
      <c r="SIG492" s="106"/>
      <c r="SIH492" s="106"/>
      <c r="SII492" s="106"/>
      <c r="SIJ492" s="106"/>
      <c r="SIK492" s="106"/>
      <c r="SIL492" s="106"/>
      <c r="SIM492" s="106"/>
      <c r="SIN492" s="106"/>
      <c r="SIO492" s="106"/>
      <c r="SIP492" s="106"/>
      <c r="SIQ492" s="106"/>
      <c r="SIR492" s="106"/>
      <c r="SIS492" s="106"/>
      <c r="SIT492" s="106"/>
      <c r="SIU492" s="106"/>
      <c r="SIV492" s="106"/>
      <c r="SIW492" s="106"/>
      <c r="SIX492" s="106"/>
      <c r="SIY492" s="106"/>
      <c r="SIZ492" s="106"/>
      <c r="SJA492" s="106"/>
      <c r="SJB492" s="106"/>
      <c r="SJC492" s="106"/>
      <c r="SJD492" s="106"/>
      <c r="SJE492" s="106"/>
      <c r="SJF492" s="106"/>
      <c r="SJG492" s="106"/>
      <c r="SJH492" s="106"/>
      <c r="SJI492" s="106"/>
      <c r="SJJ492" s="106"/>
      <c r="SJK492" s="106"/>
      <c r="SJL492" s="106"/>
      <c r="SJM492" s="106"/>
      <c r="SJN492" s="106"/>
      <c r="SJO492" s="106"/>
      <c r="SJP492" s="106"/>
      <c r="SJQ492" s="106"/>
      <c r="SJR492" s="106"/>
      <c r="SJS492" s="106"/>
      <c r="SJT492" s="106"/>
      <c r="SJU492" s="106"/>
      <c r="SJV492" s="106"/>
      <c r="SJW492" s="106"/>
      <c r="SJX492" s="106"/>
      <c r="SJY492" s="106"/>
      <c r="SJZ492" s="106"/>
      <c r="SKA492" s="106"/>
      <c r="SKB492" s="106"/>
      <c r="SKC492" s="106"/>
      <c r="SKD492" s="106"/>
      <c r="SKE492" s="106"/>
      <c r="SKF492" s="106"/>
      <c r="SKG492" s="106"/>
      <c r="SKH492" s="106"/>
      <c r="SKI492" s="106"/>
      <c r="SKJ492" s="106"/>
      <c r="SKK492" s="106"/>
      <c r="SKL492" s="106"/>
      <c r="SKM492" s="106"/>
      <c r="SKN492" s="106"/>
      <c r="SKO492" s="106"/>
      <c r="SKP492" s="106"/>
      <c r="SKQ492" s="106"/>
      <c r="SKR492" s="106"/>
      <c r="SKS492" s="106"/>
      <c r="SKT492" s="106"/>
      <c r="SKU492" s="106"/>
      <c r="SKV492" s="106"/>
      <c r="SKW492" s="106"/>
      <c r="SKX492" s="106"/>
      <c r="SKY492" s="106"/>
      <c r="SKZ492" s="106"/>
      <c r="SLA492" s="106"/>
      <c r="SLB492" s="106"/>
      <c r="SLC492" s="106"/>
      <c r="SLD492" s="106"/>
      <c r="SLE492" s="106"/>
      <c r="SLF492" s="106"/>
      <c r="SLG492" s="106"/>
      <c r="SLH492" s="106"/>
      <c r="SLI492" s="106"/>
      <c r="SLJ492" s="106"/>
      <c r="SLK492" s="106"/>
      <c r="SLL492" s="106"/>
      <c r="SLM492" s="106"/>
      <c r="SLN492" s="106"/>
      <c r="SLO492" s="106"/>
      <c r="SLP492" s="106"/>
      <c r="SLQ492" s="106"/>
      <c r="SLR492" s="106"/>
      <c r="SLS492" s="106"/>
      <c r="SLT492" s="106"/>
      <c r="SLU492" s="106"/>
      <c r="SLV492" s="106"/>
      <c r="SLW492" s="106"/>
      <c r="SLX492" s="106"/>
      <c r="SLY492" s="106"/>
      <c r="SLZ492" s="106"/>
      <c r="SMA492" s="106"/>
      <c r="SMB492" s="106"/>
      <c r="SMC492" s="106"/>
      <c r="SMD492" s="106"/>
      <c r="SME492" s="106"/>
      <c r="SMF492" s="106"/>
      <c r="SMG492" s="106"/>
      <c r="SMH492" s="106"/>
      <c r="SMI492" s="106"/>
      <c r="SMJ492" s="106"/>
      <c r="SMK492" s="106"/>
      <c r="SML492" s="106"/>
      <c r="SMM492" s="106"/>
      <c r="SMN492" s="106"/>
      <c r="SMO492" s="106"/>
      <c r="SMP492" s="106"/>
      <c r="SMQ492" s="106"/>
      <c r="SMR492" s="106"/>
      <c r="SMS492" s="106"/>
      <c r="SMT492" s="106"/>
      <c r="SMU492" s="106"/>
      <c r="SMV492" s="106"/>
      <c r="SMW492" s="106"/>
      <c r="SMX492" s="106"/>
      <c r="SMY492" s="106"/>
      <c r="SMZ492" s="106"/>
      <c r="SNA492" s="106"/>
      <c r="SNB492" s="106"/>
      <c r="SNC492" s="106"/>
      <c r="SND492" s="106"/>
      <c r="SNE492" s="106"/>
      <c r="SNF492" s="106"/>
      <c r="SNG492" s="106"/>
      <c r="SNH492" s="106"/>
      <c r="SNI492" s="106"/>
      <c r="SNJ492" s="106"/>
      <c r="SNK492" s="106"/>
      <c r="SNL492" s="106"/>
      <c r="SNM492" s="106"/>
      <c r="SNN492" s="106"/>
      <c r="SNO492" s="106"/>
      <c r="SNP492" s="106"/>
      <c r="SNQ492" s="106"/>
      <c r="SNR492" s="106"/>
      <c r="SNS492" s="106"/>
      <c r="SNT492" s="106"/>
      <c r="SNU492" s="106"/>
      <c r="SNV492" s="106"/>
      <c r="SNW492" s="106"/>
      <c r="SNX492" s="106"/>
      <c r="SNY492" s="106"/>
      <c r="SNZ492" s="106"/>
      <c r="SOA492" s="106"/>
      <c r="SOB492" s="106"/>
      <c r="SOC492" s="106"/>
      <c r="SOD492" s="106"/>
      <c r="SOE492" s="106"/>
      <c r="SOF492" s="106"/>
      <c r="SOG492" s="106"/>
      <c r="SOH492" s="106"/>
      <c r="SOI492" s="106"/>
      <c r="SOJ492" s="106"/>
      <c r="SOK492" s="106"/>
      <c r="SOL492" s="106"/>
      <c r="SOM492" s="106"/>
      <c r="SON492" s="106"/>
      <c r="SOO492" s="106"/>
      <c r="SOP492" s="106"/>
      <c r="SOQ492" s="106"/>
      <c r="SOR492" s="106"/>
      <c r="SOS492" s="106"/>
      <c r="SOT492" s="106"/>
      <c r="SOU492" s="106"/>
      <c r="SOV492" s="106"/>
      <c r="SOW492" s="106"/>
      <c r="SOX492" s="106"/>
      <c r="SOY492" s="106"/>
      <c r="SOZ492" s="106"/>
      <c r="SPA492" s="106"/>
      <c r="SPB492" s="106"/>
      <c r="SPC492" s="106"/>
      <c r="SPD492" s="106"/>
      <c r="SPE492" s="106"/>
      <c r="SPF492" s="106"/>
      <c r="SPG492" s="106"/>
      <c r="SPH492" s="106"/>
      <c r="SPI492" s="106"/>
      <c r="SPJ492" s="106"/>
      <c r="SPK492" s="106"/>
      <c r="SPL492" s="106"/>
      <c r="SPM492" s="106"/>
      <c r="SPN492" s="106"/>
      <c r="SPO492" s="106"/>
      <c r="SPP492" s="106"/>
      <c r="SPQ492" s="106"/>
      <c r="SPR492" s="106"/>
      <c r="SPS492" s="106"/>
      <c r="SPT492" s="106"/>
      <c r="SPU492" s="106"/>
      <c r="SPV492" s="106"/>
      <c r="SPW492" s="106"/>
      <c r="SPX492" s="106"/>
      <c r="SPY492" s="106"/>
      <c r="SPZ492" s="106"/>
      <c r="SQA492" s="106"/>
      <c r="SQB492" s="106"/>
      <c r="SQC492" s="106"/>
      <c r="SQD492" s="106"/>
      <c r="SQE492" s="106"/>
      <c r="SQF492" s="106"/>
      <c r="SQG492" s="106"/>
      <c r="SQH492" s="106"/>
      <c r="SQI492" s="106"/>
      <c r="SQJ492" s="106"/>
      <c r="SQK492" s="106"/>
      <c r="SQL492" s="106"/>
      <c r="SQM492" s="106"/>
      <c r="SQN492" s="106"/>
      <c r="SQO492" s="106"/>
      <c r="SQP492" s="106"/>
      <c r="SQQ492" s="106"/>
      <c r="SQR492" s="106"/>
      <c r="SQS492" s="106"/>
      <c r="SQT492" s="106"/>
      <c r="SQU492" s="106"/>
      <c r="SQV492" s="106"/>
      <c r="SQW492" s="106"/>
      <c r="SQX492" s="106"/>
      <c r="SQY492" s="106"/>
      <c r="SQZ492" s="106"/>
      <c r="SRA492" s="106"/>
      <c r="SRB492" s="106"/>
      <c r="SRC492" s="106"/>
      <c r="SRD492" s="106"/>
      <c r="SRE492" s="106"/>
      <c r="SRF492" s="106"/>
      <c r="SRG492" s="106"/>
      <c r="SRH492" s="106"/>
      <c r="SRI492" s="106"/>
      <c r="SRJ492" s="106"/>
      <c r="SRK492" s="106"/>
      <c r="SRL492" s="106"/>
      <c r="SRM492" s="106"/>
      <c r="SRN492" s="106"/>
      <c r="SRO492" s="106"/>
      <c r="SRP492" s="106"/>
      <c r="SRQ492" s="106"/>
      <c r="SRR492" s="106"/>
      <c r="SRS492" s="106"/>
      <c r="SRT492" s="106"/>
      <c r="SRU492" s="106"/>
      <c r="SRV492" s="106"/>
      <c r="SRW492" s="106"/>
      <c r="SRX492" s="106"/>
      <c r="SRY492" s="106"/>
      <c r="SRZ492" s="106"/>
      <c r="SSA492" s="106"/>
      <c r="SSB492" s="106"/>
      <c r="SSC492" s="106"/>
      <c r="SSD492" s="106"/>
      <c r="SSE492" s="106"/>
      <c r="SSF492" s="106"/>
      <c r="SSG492" s="106"/>
      <c r="SSH492" s="106"/>
      <c r="SSI492" s="106"/>
      <c r="SSJ492" s="106"/>
      <c r="SSK492" s="106"/>
      <c r="SSL492" s="106"/>
      <c r="SSM492" s="106"/>
      <c r="SSN492" s="106"/>
      <c r="SSO492" s="106"/>
      <c r="SSP492" s="106"/>
      <c r="SSQ492" s="106"/>
      <c r="SSR492" s="106"/>
      <c r="SSS492" s="106"/>
      <c r="SST492" s="106"/>
      <c r="SSU492" s="106"/>
      <c r="SSV492" s="106"/>
      <c r="SSW492" s="106"/>
      <c r="SSX492" s="106"/>
      <c r="SSY492" s="106"/>
      <c r="SSZ492" s="106"/>
      <c r="STA492" s="106"/>
      <c r="STB492" s="106"/>
      <c r="STC492" s="106"/>
      <c r="STD492" s="106"/>
      <c r="STE492" s="106"/>
      <c r="STF492" s="106"/>
      <c r="STG492" s="106"/>
      <c r="STH492" s="106"/>
      <c r="STI492" s="106"/>
      <c r="STJ492" s="106"/>
      <c r="STK492" s="106"/>
      <c r="STL492" s="106"/>
      <c r="STM492" s="106"/>
      <c r="STN492" s="106"/>
      <c r="STO492" s="106"/>
      <c r="STP492" s="106"/>
      <c r="STQ492" s="106"/>
      <c r="STR492" s="106"/>
      <c r="STS492" s="106"/>
      <c r="STT492" s="106"/>
      <c r="STU492" s="106"/>
      <c r="STV492" s="106"/>
      <c r="STW492" s="106"/>
      <c r="STX492" s="106"/>
      <c r="STY492" s="106"/>
      <c r="STZ492" s="106"/>
      <c r="SUA492" s="106"/>
      <c r="SUB492" s="106"/>
      <c r="SUC492" s="106"/>
      <c r="SUD492" s="106"/>
      <c r="SUE492" s="106"/>
      <c r="SUF492" s="106"/>
      <c r="SUG492" s="106"/>
      <c r="SUH492" s="106"/>
      <c r="SUI492" s="106"/>
      <c r="SUJ492" s="106"/>
      <c r="SUK492" s="106"/>
      <c r="SUL492" s="106"/>
      <c r="SUM492" s="106"/>
      <c r="SUN492" s="106"/>
      <c r="SUO492" s="106"/>
      <c r="SUP492" s="106"/>
      <c r="SUQ492" s="106"/>
      <c r="SUR492" s="106"/>
      <c r="SUS492" s="106"/>
      <c r="SUT492" s="106"/>
      <c r="SUU492" s="106"/>
      <c r="SUV492" s="106"/>
      <c r="SUW492" s="106"/>
      <c r="SUX492" s="106"/>
      <c r="SUY492" s="106"/>
      <c r="SUZ492" s="106"/>
      <c r="SVA492" s="106"/>
      <c r="SVB492" s="106"/>
      <c r="SVC492" s="106"/>
      <c r="SVD492" s="106"/>
      <c r="SVE492" s="106"/>
      <c r="SVF492" s="106"/>
      <c r="SVG492" s="106"/>
      <c r="SVH492" s="106"/>
      <c r="SVI492" s="106"/>
      <c r="SVJ492" s="106"/>
      <c r="SVK492" s="106"/>
      <c r="SVL492" s="106"/>
      <c r="SVM492" s="106"/>
      <c r="SVN492" s="106"/>
      <c r="SVO492" s="106"/>
      <c r="SVP492" s="106"/>
      <c r="SVQ492" s="106"/>
      <c r="SVR492" s="106"/>
      <c r="SVS492" s="106"/>
      <c r="SVT492" s="106"/>
      <c r="SVU492" s="106"/>
      <c r="SVV492" s="106"/>
      <c r="SVW492" s="106"/>
      <c r="SVX492" s="106"/>
      <c r="SVY492" s="106"/>
      <c r="SVZ492" s="106"/>
      <c r="SWA492" s="106"/>
      <c r="SWB492" s="106"/>
      <c r="SWC492" s="106"/>
      <c r="SWD492" s="106"/>
      <c r="SWE492" s="106"/>
      <c r="SWF492" s="106"/>
      <c r="SWG492" s="106"/>
      <c r="SWH492" s="106"/>
      <c r="SWI492" s="106"/>
      <c r="SWJ492" s="106"/>
      <c r="SWK492" s="106"/>
      <c r="SWL492" s="106"/>
      <c r="SWM492" s="106"/>
      <c r="SWN492" s="106"/>
      <c r="SWO492" s="106"/>
      <c r="SWP492" s="106"/>
      <c r="SWQ492" s="106"/>
      <c r="SWR492" s="106"/>
      <c r="SWS492" s="106"/>
      <c r="SWT492" s="106"/>
      <c r="SWU492" s="106"/>
      <c r="SWV492" s="106"/>
      <c r="SWW492" s="106"/>
      <c r="SWX492" s="106"/>
      <c r="SWY492" s="106"/>
      <c r="SWZ492" s="106"/>
      <c r="SXA492" s="106"/>
      <c r="SXB492" s="106"/>
      <c r="SXC492" s="106"/>
      <c r="SXD492" s="106"/>
      <c r="SXE492" s="106"/>
      <c r="SXF492" s="106"/>
      <c r="SXG492" s="106"/>
      <c r="SXH492" s="106"/>
      <c r="SXI492" s="106"/>
      <c r="SXJ492" s="106"/>
      <c r="SXK492" s="106"/>
      <c r="SXL492" s="106"/>
      <c r="SXM492" s="106"/>
      <c r="SXN492" s="106"/>
      <c r="SXO492" s="106"/>
      <c r="SXP492" s="106"/>
      <c r="SXQ492" s="106"/>
      <c r="SXR492" s="106"/>
      <c r="SXS492" s="106"/>
      <c r="SXT492" s="106"/>
      <c r="SXU492" s="106"/>
      <c r="SXV492" s="106"/>
      <c r="SXW492" s="106"/>
      <c r="SXX492" s="106"/>
      <c r="SXY492" s="106"/>
      <c r="SXZ492" s="106"/>
      <c r="SYA492" s="106"/>
      <c r="SYB492" s="106"/>
      <c r="SYC492" s="106"/>
      <c r="SYD492" s="106"/>
      <c r="SYE492" s="106"/>
      <c r="SYF492" s="106"/>
      <c r="SYG492" s="106"/>
      <c r="SYH492" s="106"/>
      <c r="SYI492" s="106"/>
      <c r="SYJ492" s="106"/>
      <c r="SYK492" s="106"/>
      <c r="SYL492" s="106"/>
      <c r="SYM492" s="106"/>
      <c r="SYN492" s="106"/>
      <c r="SYO492" s="106"/>
      <c r="SYP492" s="106"/>
      <c r="SYQ492" s="106"/>
      <c r="SYR492" s="106"/>
      <c r="SYS492" s="106"/>
      <c r="SYT492" s="106"/>
      <c r="SYU492" s="106"/>
      <c r="SYV492" s="106"/>
      <c r="SYW492" s="106"/>
      <c r="SYX492" s="106"/>
      <c r="SYY492" s="106"/>
      <c r="SYZ492" s="106"/>
      <c r="SZA492" s="106"/>
      <c r="SZB492" s="106"/>
      <c r="SZC492" s="106"/>
      <c r="SZD492" s="106"/>
      <c r="SZE492" s="106"/>
      <c r="SZF492" s="106"/>
      <c r="SZG492" s="106"/>
      <c r="SZH492" s="106"/>
      <c r="SZI492" s="106"/>
      <c r="SZJ492" s="106"/>
      <c r="SZK492" s="106"/>
      <c r="SZL492" s="106"/>
      <c r="SZM492" s="106"/>
      <c r="SZN492" s="106"/>
      <c r="SZO492" s="106"/>
      <c r="SZP492" s="106"/>
      <c r="SZQ492" s="106"/>
      <c r="SZR492" s="106"/>
      <c r="SZS492" s="106"/>
      <c r="SZT492" s="106"/>
      <c r="SZU492" s="106"/>
      <c r="SZV492" s="106"/>
      <c r="SZW492" s="106"/>
      <c r="SZX492" s="106"/>
      <c r="SZY492" s="106"/>
      <c r="SZZ492" s="106"/>
      <c r="TAA492" s="106"/>
      <c r="TAB492" s="106"/>
      <c r="TAC492" s="106"/>
      <c r="TAD492" s="106"/>
      <c r="TAE492" s="106"/>
      <c r="TAF492" s="106"/>
      <c r="TAG492" s="106"/>
      <c r="TAH492" s="106"/>
      <c r="TAI492" s="106"/>
      <c r="TAJ492" s="106"/>
      <c r="TAK492" s="106"/>
      <c r="TAL492" s="106"/>
      <c r="TAM492" s="106"/>
      <c r="TAN492" s="106"/>
      <c r="TAO492" s="106"/>
      <c r="TAP492" s="106"/>
      <c r="TAQ492" s="106"/>
      <c r="TAR492" s="106"/>
      <c r="TAS492" s="106"/>
      <c r="TAT492" s="106"/>
      <c r="TAU492" s="106"/>
      <c r="TAV492" s="106"/>
      <c r="TAW492" s="106"/>
      <c r="TAX492" s="106"/>
      <c r="TAY492" s="106"/>
      <c r="TAZ492" s="106"/>
      <c r="TBA492" s="106"/>
      <c r="TBB492" s="106"/>
      <c r="TBC492" s="106"/>
      <c r="TBD492" s="106"/>
      <c r="TBE492" s="106"/>
      <c r="TBF492" s="106"/>
      <c r="TBG492" s="106"/>
      <c r="TBH492" s="106"/>
      <c r="TBI492" s="106"/>
      <c r="TBJ492" s="106"/>
      <c r="TBK492" s="106"/>
      <c r="TBL492" s="106"/>
      <c r="TBM492" s="106"/>
      <c r="TBN492" s="106"/>
      <c r="TBO492" s="106"/>
      <c r="TBP492" s="106"/>
      <c r="TBQ492" s="106"/>
      <c r="TBR492" s="106"/>
      <c r="TBS492" s="106"/>
      <c r="TBT492" s="106"/>
      <c r="TBU492" s="106"/>
      <c r="TBV492" s="106"/>
      <c r="TBW492" s="106"/>
      <c r="TBX492" s="106"/>
      <c r="TBY492" s="106"/>
      <c r="TBZ492" s="106"/>
      <c r="TCA492" s="106"/>
      <c r="TCB492" s="106"/>
      <c r="TCC492" s="106"/>
      <c r="TCD492" s="106"/>
      <c r="TCE492" s="106"/>
      <c r="TCF492" s="106"/>
      <c r="TCG492" s="106"/>
      <c r="TCH492" s="106"/>
      <c r="TCI492" s="106"/>
      <c r="TCJ492" s="106"/>
      <c r="TCK492" s="106"/>
      <c r="TCL492" s="106"/>
      <c r="TCM492" s="106"/>
      <c r="TCN492" s="106"/>
      <c r="TCO492" s="106"/>
      <c r="TCP492" s="106"/>
      <c r="TCQ492" s="106"/>
      <c r="TCR492" s="106"/>
      <c r="TCS492" s="106"/>
      <c r="TCT492" s="106"/>
      <c r="TCU492" s="106"/>
      <c r="TCV492" s="106"/>
      <c r="TCW492" s="106"/>
      <c r="TCX492" s="106"/>
      <c r="TCY492" s="106"/>
      <c r="TCZ492" s="106"/>
      <c r="TDA492" s="106"/>
      <c r="TDB492" s="106"/>
      <c r="TDC492" s="106"/>
      <c r="TDD492" s="106"/>
      <c r="TDE492" s="106"/>
      <c r="TDF492" s="106"/>
      <c r="TDG492" s="106"/>
      <c r="TDH492" s="106"/>
      <c r="TDI492" s="106"/>
      <c r="TDJ492" s="106"/>
      <c r="TDK492" s="106"/>
      <c r="TDL492" s="106"/>
      <c r="TDM492" s="106"/>
      <c r="TDN492" s="106"/>
      <c r="TDO492" s="106"/>
      <c r="TDP492" s="106"/>
      <c r="TDQ492" s="106"/>
      <c r="TDR492" s="106"/>
      <c r="TDS492" s="106"/>
      <c r="TDT492" s="106"/>
      <c r="TDU492" s="106"/>
      <c r="TDV492" s="106"/>
      <c r="TDW492" s="106"/>
      <c r="TDX492" s="106"/>
      <c r="TDY492" s="106"/>
      <c r="TDZ492" s="106"/>
      <c r="TEA492" s="106"/>
      <c r="TEB492" s="106"/>
      <c r="TEC492" s="106"/>
      <c r="TED492" s="106"/>
      <c r="TEE492" s="106"/>
      <c r="TEF492" s="106"/>
      <c r="TEG492" s="106"/>
      <c r="TEH492" s="106"/>
      <c r="TEI492" s="106"/>
      <c r="TEJ492" s="106"/>
      <c r="TEK492" s="106"/>
      <c r="TEL492" s="106"/>
      <c r="TEM492" s="106"/>
      <c r="TEN492" s="106"/>
      <c r="TEO492" s="106"/>
      <c r="TEP492" s="106"/>
      <c r="TEQ492" s="106"/>
      <c r="TER492" s="106"/>
      <c r="TES492" s="106"/>
      <c r="TET492" s="106"/>
      <c r="TEU492" s="106"/>
      <c r="TEV492" s="106"/>
      <c r="TEW492" s="106"/>
      <c r="TEX492" s="106"/>
      <c r="TEY492" s="106"/>
      <c r="TEZ492" s="106"/>
      <c r="TFA492" s="106"/>
      <c r="TFB492" s="106"/>
      <c r="TFC492" s="106"/>
      <c r="TFD492" s="106"/>
      <c r="TFE492" s="106"/>
      <c r="TFF492" s="106"/>
      <c r="TFG492" s="106"/>
      <c r="TFH492" s="106"/>
      <c r="TFI492" s="106"/>
      <c r="TFJ492" s="106"/>
      <c r="TFK492" s="106"/>
      <c r="TFL492" s="106"/>
      <c r="TFM492" s="106"/>
      <c r="TFN492" s="106"/>
      <c r="TFO492" s="106"/>
      <c r="TFP492" s="106"/>
      <c r="TFQ492" s="106"/>
      <c r="TFR492" s="106"/>
      <c r="TFS492" s="106"/>
      <c r="TFT492" s="106"/>
      <c r="TFU492" s="106"/>
      <c r="TFV492" s="106"/>
      <c r="TFW492" s="106"/>
      <c r="TFX492" s="106"/>
      <c r="TFY492" s="106"/>
      <c r="TFZ492" s="106"/>
      <c r="TGA492" s="106"/>
      <c r="TGB492" s="106"/>
      <c r="TGC492" s="106"/>
      <c r="TGD492" s="106"/>
      <c r="TGE492" s="106"/>
      <c r="TGF492" s="106"/>
      <c r="TGG492" s="106"/>
      <c r="TGH492" s="106"/>
      <c r="TGI492" s="106"/>
      <c r="TGJ492" s="106"/>
      <c r="TGK492" s="106"/>
      <c r="TGL492" s="106"/>
      <c r="TGM492" s="106"/>
      <c r="TGN492" s="106"/>
      <c r="TGO492" s="106"/>
      <c r="TGP492" s="106"/>
      <c r="TGQ492" s="106"/>
      <c r="TGR492" s="106"/>
      <c r="TGS492" s="106"/>
      <c r="TGT492" s="106"/>
      <c r="TGU492" s="106"/>
      <c r="TGV492" s="106"/>
      <c r="TGW492" s="106"/>
      <c r="TGX492" s="106"/>
      <c r="TGY492" s="106"/>
      <c r="TGZ492" s="106"/>
      <c r="THA492" s="106"/>
      <c r="THB492" s="106"/>
      <c r="THC492" s="106"/>
      <c r="THD492" s="106"/>
      <c r="THE492" s="106"/>
      <c r="THF492" s="106"/>
      <c r="THG492" s="106"/>
      <c r="THH492" s="106"/>
      <c r="THI492" s="106"/>
      <c r="THJ492" s="106"/>
      <c r="THK492" s="106"/>
      <c r="THL492" s="106"/>
      <c r="THM492" s="106"/>
      <c r="THN492" s="106"/>
      <c r="THO492" s="106"/>
      <c r="THP492" s="106"/>
      <c r="THQ492" s="106"/>
      <c r="THR492" s="106"/>
      <c r="THS492" s="106"/>
      <c r="THT492" s="106"/>
      <c r="THU492" s="106"/>
      <c r="THV492" s="106"/>
      <c r="THW492" s="106"/>
      <c r="THX492" s="106"/>
      <c r="THY492" s="106"/>
      <c r="THZ492" s="106"/>
      <c r="TIA492" s="106"/>
      <c r="TIB492" s="106"/>
      <c r="TIC492" s="106"/>
      <c r="TID492" s="106"/>
      <c r="TIE492" s="106"/>
      <c r="TIF492" s="106"/>
      <c r="TIG492" s="106"/>
      <c r="TIH492" s="106"/>
      <c r="TII492" s="106"/>
      <c r="TIJ492" s="106"/>
      <c r="TIK492" s="106"/>
      <c r="TIL492" s="106"/>
      <c r="TIM492" s="106"/>
      <c r="TIN492" s="106"/>
      <c r="TIO492" s="106"/>
      <c r="TIP492" s="106"/>
      <c r="TIQ492" s="106"/>
      <c r="TIR492" s="106"/>
      <c r="TIS492" s="106"/>
      <c r="TIT492" s="106"/>
      <c r="TIU492" s="106"/>
      <c r="TIV492" s="106"/>
      <c r="TIW492" s="106"/>
      <c r="TIX492" s="106"/>
      <c r="TIY492" s="106"/>
      <c r="TIZ492" s="106"/>
      <c r="TJA492" s="106"/>
      <c r="TJB492" s="106"/>
      <c r="TJC492" s="106"/>
      <c r="TJD492" s="106"/>
      <c r="TJE492" s="106"/>
      <c r="TJF492" s="106"/>
      <c r="TJG492" s="106"/>
      <c r="TJH492" s="106"/>
      <c r="TJI492" s="106"/>
      <c r="TJJ492" s="106"/>
      <c r="TJK492" s="106"/>
      <c r="TJL492" s="106"/>
      <c r="TJM492" s="106"/>
      <c r="TJN492" s="106"/>
      <c r="TJO492" s="106"/>
      <c r="TJP492" s="106"/>
      <c r="TJQ492" s="106"/>
      <c r="TJR492" s="106"/>
      <c r="TJS492" s="106"/>
      <c r="TJT492" s="106"/>
      <c r="TJU492" s="106"/>
      <c r="TJV492" s="106"/>
      <c r="TJW492" s="106"/>
      <c r="TJX492" s="106"/>
      <c r="TJY492" s="106"/>
      <c r="TJZ492" s="106"/>
      <c r="TKA492" s="106"/>
      <c r="TKB492" s="106"/>
      <c r="TKC492" s="106"/>
      <c r="TKD492" s="106"/>
      <c r="TKE492" s="106"/>
      <c r="TKF492" s="106"/>
      <c r="TKG492" s="106"/>
      <c r="TKH492" s="106"/>
      <c r="TKI492" s="106"/>
      <c r="TKJ492" s="106"/>
      <c r="TKK492" s="106"/>
      <c r="TKL492" s="106"/>
      <c r="TKM492" s="106"/>
      <c r="TKN492" s="106"/>
      <c r="TKO492" s="106"/>
      <c r="TKP492" s="106"/>
      <c r="TKQ492" s="106"/>
      <c r="TKR492" s="106"/>
      <c r="TKS492" s="106"/>
      <c r="TKT492" s="106"/>
      <c r="TKU492" s="106"/>
      <c r="TKV492" s="106"/>
      <c r="TKW492" s="106"/>
      <c r="TKX492" s="106"/>
      <c r="TKY492" s="106"/>
      <c r="TKZ492" s="106"/>
      <c r="TLA492" s="106"/>
      <c r="TLB492" s="106"/>
      <c r="TLC492" s="106"/>
      <c r="TLD492" s="106"/>
      <c r="TLE492" s="106"/>
      <c r="TLF492" s="106"/>
      <c r="TLG492" s="106"/>
      <c r="TLH492" s="106"/>
      <c r="TLI492" s="106"/>
      <c r="TLJ492" s="106"/>
      <c r="TLK492" s="106"/>
      <c r="TLL492" s="106"/>
      <c r="TLM492" s="106"/>
      <c r="TLN492" s="106"/>
      <c r="TLO492" s="106"/>
      <c r="TLP492" s="106"/>
      <c r="TLQ492" s="106"/>
      <c r="TLR492" s="106"/>
      <c r="TLS492" s="106"/>
      <c r="TLT492" s="106"/>
      <c r="TLU492" s="106"/>
      <c r="TLV492" s="106"/>
      <c r="TLW492" s="106"/>
      <c r="TLX492" s="106"/>
      <c r="TLY492" s="106"/>
      <c r="TLZ492" s="106"/>
      <c r="TMA492" s="106"/>
      <c r="TMB492" s="106"/>
      <c r="TMC492" s="106"/>
      <c r="TMD492" s="106"/>
      <c r="TME492" s="106"/>
      <c r="TMF492" s="106"/>
      <c r="TMG492" s="106"/>
      <c r="TMH492" s="106"/>
      <c r="TMI492" s="106"/>
      <c r="TMJ492" s="106"/>
      <c r="TMK492" s="106"/>
      <c r="TML492" s="106"/>
      <c r="TMM492" s="106"/>
      <c r="TMN492" s="106"/>
      <c r="TMO492" s="106"/>
      <c r="TMP492" s="106"/>
      <c r="TMQ492" s="106"/>
      <c r="TMR492" s="106"/>
      <c r="TMS492" s="106"/>
      <c r="TMT492" s="106"/>
      <c r="TMU492" s="106"/>
      <c r="TMV492" s="106"/>
      <c r="TMW492" s="106"/>
      <c r="TMX492" s="106"/>
      <c r="TMY492" s="106"/>
      <c r="TMZ492" s="106"/>
      <c r="TNA492" s="106"/>
      <c r="TNB492" s="106"/>
      <c r="TNC492" s="106"/>
      <c r="TND492" s="106"/>
      <c r="TNE492" s="106"/>
      <c r="TNF492" s="106"/>
      <c r="TNG492" s="106"/>
      <c r="TNH492" s="106"/>
      <c r="TNI492" s="106"/>
      <c r="TNJ492" s="106"/>
      <c r="TNK492" s="106"/>
      <c r="TNL492" s="106"/>
      <c r="TNM492" s="106"/>
      <c r="TNN492" s="106"/>
      <c r="TNO492" s="106"/>
      <c r="TNP492" s="106"/>
      <c r="TNQ492" s="106"/>
      <c r="TNR492" s="106"/>
      <c r="TNS492" s="106"/>
      <c r="TNT492" s="106"/>
      <c r="TNU492" s="106"/>
      <c r="TNV492" s="106"/>
      <c r="TNW492" s="106"/>
      <c r="TNX492" s="106"/>
      <c r="TNY492" s="106"/>
      <c r="TNZ492" s="106"/>
      <c r="TOA492" s="106"/>
      <c r="TOB492" s="106"/>
      <c r="TOC492" s="106"/>
      <c r="TOD492" s="106"/>
      <c r="TOE492" s="106"/>
      <c r="TOF492" s="106"/>
      <c r="TOG492" s="106"/>
      <c r="TOH492" s="106"/>
      <c r="TOI492" s="106"/>
      <c r="TOJ492" s="106"/>
      <c r="TOK492" s="106"/>
      <c r="TOL492" s="106"/>
      <c r="TOM492" s="106"/>
      <c r="TON492" s="106"/>
      <c r="TOO492" s="106"/>
      <c r="TOP492" s="106"/>
      <c r="TOQ492" s="106"/>
      <c r="TOR492" s="106"/>
      <c r="TOS492" s="106"/>
      <c r="TOT492" s="106"/>
      <c r="TOU492" s="106"/>
      <c r="TOV492" s="106"/>
      <c r="TOW492" s="106"/>
      <c r="TOX492" s="106"/>
      <c r="TOY492" s="106"/>
      <c r="TOZ492" s="106"/>
      <c r="TPA492" s="106"/>
      <c r="TPB492" s="106"/>
      <c r="TPC492" s="106"/>
      <c r="TPD492" s="106"/>
      <c r="TPE492" s="106"/>
      <c r="TPF492" s="106"/>
      <c r="TPG492" s="106"/>
      <c r="TPH492" s="106"/>
      <c r="TPI492" s="106"/>
      <c r="TPJ492" s="106"/>
      <c r="TPK492" s="106"/>
      <c r="TPL492" s="106"/>
      <c r="TPM492" s="106"/>
      <c r="TPN492" s="106"/>
      <c r="TPO492" s="106"/>
      <c r="TPP492" s="106"/>
      <c r="TPQ492" s="106"/>
      <c r="TPR492" s="106"/>
      <c r="TPS492" s="106"/>
      <c r="TPT492" s="106"/>
      <c r="TPU492" s="106"/>
      <c r="TPV492" s="106"/>
      <c r="TPW492" s="106"/>
      <c r="TPX492" s="106"/>
      <c r="TPY492" s="106"/>
      <c r="TPZ492" s="106"/>
      <c r="TQA492" s="106"/>
      <c r="TQB492" s="106"/>
      <c r="TQC492" s="106"/>
      <c r="TQD492" s="106"/>
      <c r="TQE492" s="106"/>
      <c r="TQF492" s="106"/>
      <c r="TQG492" s="106"/>
      <c r="TQH492" s="106"/>
      <c r="TQI492" s="106"/>
      <c r="TQJ492" s="106"/>
      <c r="TQK492" s="106"/>
      <c r="TQL492" s="106"/>
      <c r="TQM492" s="106"/>
      <c r="TQN492" s="106"/>
      <c r="TQO492" s="106"/>
      <c r="TQP492" s="106"/>
      <c r="TQQ492" s="106"/>
      <c r="TQR492" s="106"/>
      <c r="TQS492" s="106"/>
      <c r="TQT492" s="106"/>
      <c r="TQU492" s="106"/>
      <c r="TQV492" s="106"/>
      <c r="TQW492" s="106"/>
      <c r="TQX492" s="106"/>
      <c r="TQY492" s="106"/>
      <c r="TQZ492" s="106"/>
      <c r="TRA492" s="106"/>
      <c r="TRB492" s="106"/>
      <c r="TRC492" s="106"/>
      <c r="TRD492" s="106"/>
      <c r="TRE492" s="106"/>
      <c r="TRF492" s="106"/>
      <c r="TRG492" s="106"/>
      <c r="TRH492" s="106"/>
      <c r="TRI492" s="106"/>
      <c r="TRJ492" s="106"/>
      <c r="TRK492" s="106"/>
      <c r="TRL492" s="106"/>
      <c r="TRM492" s="106"/>
      <c r="TRN492" s="106"/>
      <c r="TRO492" s="106"/>
      <c r="TRP492" s="106"/>
      <c r="TRQ492" s="106"/>
      <c r="TRR492" s="106"/>
      <c r="TRS492" s="106"/>
      <c r="TRT492" s="106"/>
      <c r="TRU492" s="106"/>
      <c r="TRV492" s="106"/>
      <c r="TRW492" s="106"/>
      <c r="TRX492" s="106"/>
      <c r="TRY492" s="106"/>
      <c r="TRZ492" s="106"/>
      <c r="TSA492" s="106"/>
      <c r="TSB492" s="106"/>
      <c r="TSC492" s="106"/>
      <c r="TSD492" s="106"/>
      <c r="TSE492" s="106"/>
      <c r="TSF492" s="106"/>
      <c r="TSG492" s="106"/>
      <c r="TSH492" s="106"/>
      <c r="TSI492" s="106"/>
      <c r="TSJ492" s="106"/>
      <c r="TSK492" s="106"/>
      <c r="TSL492" s="106"/>
      <c r="TSM492" s="106"/>
      <c r="TSN492" s="106"/>
      <c r="TSO492" s="106"/>
      <c r="TSP492" s="106"/>
      <c r="TSQ492" s="106"/>
      <c r="TSR492" s="106"/>
      <c r="TSS492" s="106"/>
      <c r="TST492" s="106"/>
      <c r="TSU492" s="106"/>
      <c r="TSV492" s="106"/>
      <c r="TSW492" s="106"/>
      <c r="TSX492" s="106"/>
      <c r="TSY492" s="106"/>
      <c r="TSZ492" s="106"/>
      <c r="TTA492" s="106"/>
      <c r="TTB492" s="106"/>
      <c r="TTC492" s="106"/>
      <c r="TTD492" s="106"/>
      <c r="TTE492" s="106"/>
      <c r="TTF492" s="106"/>
      <c r="TTG492" s="106"/>
      <c r="TTH492" s="106"/>
      <c r="TTI492" s="106"/>
      <c r="TTJ492" s="106"/>
      <c r="TTK492" s="106"/>
      <c r="TTL492" s="106"/>
      <c r="TTM492" s="106"/>
      <c r="TTN492" s="106"/>
      <c r="TTO492" s="106"/>
      <c r="TTP492" s="106"/>
      <c r="TTQ492" s="106"/>
      <c r="TTR492" s="106"/>
      <c r="TTS492" s="106"/>
      <c r="TTT492" s="106"/>
      <c r="TTU492" s="106"/>
      <c r="TTV492" s="106"/>
      <c r="TTW492" s="106"/>
      <c r="TTX492" s="106"/>
      <c r="TTY492" s="106"/>
      <c r="TTZ492" s="106"/>
      <c r="TUA492" s="106"/>
      <c r="TUB492" s="106"/>
      <c r="TUC492" s="106"/>
      <c r="TUD492" s="106"/>
      <c r="TUE492" s="106"/>
      <c r="TUF492" s="106"/>
      <c r="TUG492" s="106"/>
      <c r="TUH492" s="106"/>
      <c r="TUI492" s="106"/>
      <c r="TUJ492" s="106"/>
      <c r="TUK492" s="106"/>
      <c r="TUL492" s="106"/>
      <c r="TUM492" s="106"/>
      <c r="TUN492" s="106"/>
      <c r="TUO492" s="106"/>
      <c r="TUP492" s="106"/>
      <c r="TUQ492" s="106"/>
      <c r="TUR492" s="106"/>
      <c r="TUS492" s="106"/>
      <c r="TUT492" s="106"/>
      <c r="TUU492" s="106"/>
      <c r="TUV492" s="106"/>
      <c r="TUW492" s="106"/>
      <c r="TUX492" s="106"/>
      <c r="TUY492" s="106"/>
      <c r="TUZ492" s="106"/>
      <c r="TVA492" s="106"/>
      <c r="TVB492" s="106"/>
      <c r="TVC492" s="106"/>
      <c r="TVD492" s="106"/>
      <c r="TVE492" s="106"/>
      <c r="TVF492" s="106"/>
      <c r="TVG492" s="106"/>
      <c r="TVH492" s="106"/>
      <c r="TVI492" s="106"/>
      <c r="TVJ492" s="106"/>
      <c r="TVK492" s="106"/>
      <c r="TVL492" s="106"/>
      <c r="TVM492" s="106"/>
      <c r="TVN492" s="106"/>
      <c r="TVO492" s="106"/>
      <c r="TVP492" s="106"/>
      <c r="TVQ492" s="106"/>
      <c r="TVR492" s="106"/>
      <c r="TVS492" s="106"/>
      <c r="TVT492" s="106"/>
      <c r="TVU492" s="106"/>
      <c r="TVV492" s="106"/>
      <c r="TVW492" s="106"/>
      <c r="TVX492" s="106"/>
      <c r="TVY492" s="106"/>
      <c r="TVZ492" s="106"/>
      <c r="TWA492" s="106"/>
      <c r="TWB492" s="106"/>
      <c r="TWC492" s="106"/>
      <c r="TWD492" s="106"/>
      <c r="TWE492" s="106"/>
      <c r="TWF492" s="106"/>
      <c r="TWG492" s="106"/>
      <c r="TWH492" s="106"/>
      <c r="TWI492" s="106"/>
      <c r="TWJ492" s="106"/>
      <c r="TWK492" s="106"/>
      <c r="TWL492" s="106"/>
      <c r="TWM492" s="106"/>
      <c r="TWN492" s="106"/>
      <c r="TWO492" s="106"/>
      <c r="TWP492" s="106"/>
      <c r="TWQ492" s="106"/>
      <c r="TWR492" s="106"/>
      <c r="TWS492" s="106"/>
      <c r="TWT492" s="106"/>
      <c r="TWU492" s="106"/>
      <c r="TWV492" s="106"/>
      <c r="TWW492" s="106"/>
      <c r="TWX492" s="106"/>
      <c r="TWY492" s="106"/>
      <c r="TWZ492" s="106"/>
      <c r="TXA492" s="106"/>
      <c r="TXB492" s="106"/>
      <c r="TXC492" s="106"/>
      <c r="TXD492" s="106"/>
      <c r="TXE492" s="106"/>
      <c r="TXF492" s="106"/>
      <c r="TXG492" s="106"/>
      <c r="TXH492" s="106"/>
      <c r="TXI492" s="106"/>
      <c r="TXJ492" s="106"/>
      <c r="TXK492" s="106"/>
      <c r="TXL492" s="106"/>
      <c r="TXM492" s="106"/>
      <c r="TXN492" s="106"/>
      <c r="TXO492" s="106"/>
      <c r="TXP492" s="106"/>
      <c r="TXQ492" s="106"/>
      <c r="TXR492" s="106"/>
      <c r="TXS492" s="106"/>
      <c r="TXT492" s="106"/>
      <c r="TXU492" s="106"/>
      <c r="TXV492" s="106"/>
      <c r="TXW492" s="106"/>
      <c r="TXX492" s="106"/>
      <c r="TXY492" s="106"/>
      <c r="TXZ492" s="106"/>
      <c r="TYA492" s="106"/>
      <c r="TYB492" s="106"/>
      <c r="TYC492" s="106"/>
      <c r="TYD492" s="106"/>
      <c r="TYE492" s="106"/>
      <c r="TYF492" s="106"/>
      <c r="TYG492" s="106"/>
      <c r="TYH492" s="106"/>
      <c r="TYI492" s="106"/>
      <c r="TYJ492" s="106"/>
      <c r="TYK492" s="106"/>
      <c r="TYL492" s="106"/>
      <c r="TYM492" s="106"/>
      <c r="TYN492" s="106"/>
      <c r="TYO492" s="106"/>
      <c r="TYP492" s="106"/>
      <c r="TYQ492" s="106"/>
      <c r="TYR492" s="106"/>
      <c r="TYS492" s="106"/>
      <c r="TYT492" s="106"/>
      <c r="TYU492" s="106"/>
      <c r="TYV492" s="106"/>
      <c r="TYW492" s="106"/>
      <c r="TYX492" s="106"/>
      <c r="TYY492" s="106"/>
      <c r="TYZ492" s="106"/>
      <c r="TZA492" s="106"/>
      <c r="TZB492" s="106"/>
      <c r="TZC492" s="106"/>
      <c r="TZD492" s="106"/>
      <c r="TZE492" s="106"/>
      <c r="TZF492" s="106"/>
      <c r="TZG492" s="106"/>
      <c r="TZH492" s="106"/>
      <c r="TZI492" s="106"/>
      <c r="TZJ492" s="106"/>
      <c r="TZK492" s="106"/>
      <c r="TZL492" s="106"/>
      <c r="TZM492" s="106"/>
      <c r="TZN492" s="106"/>
      <c r="TZO492" s="106"/>
      <c r="TZP492" s="106"/>
      <c r="TZQ492" s="106"/>
      <c r="TZR492" s="106"/>
      <c r="TZS492" s="106"/>
      <c r="TZT492" s="106"/>
      <c r="TZU492" s="106"/>
      <c r="TZV492" s="106"/>
      <c r="TZW492" s="106"/>
      <c r="TZX492" s="106"/>
      <c r="TZY492" s="106"/>
      <c r="TZZ492" s="106"/>
      <c r="UAA492" s="106"/>
      <c r="UAB492" s="106"/>
      <c r="UAC492" s="106"/>
      <c r="UAD492" s="106"/>
      <c r="UAE492" s="106"/>
      <c r="UAF492" s="106"/>
      <c r="UAG492" s="106"/>
      <c r="UAH492" s="106"/>
      <c r="UAI492" s="106"/>
      <c r="UAJ492" s="106"/>
      <c r="UAK492" s="106"/>
      <c r="UAL492" s="106"/>
      <c r="UAM492" s="106"/>
      <c r="UAN492" s="106"/>
      <c r="UAO492" s="106"/>
      <c r="UAP492" s="106"/>
      <c r="UAQ492" s="106"/>
      <c r="UAR492" s="106"/>
      <c r="UAS492" s="106"/>
      <c r="UAT492" s="106"/>
      <c r="UAU492" s="106"/>
      <c r="UAV492" s="106"/>
      <c r="UAW492" s="106"/>
      <c r="UAX492" s="106"/>
      <c r="UAY492" s="106"/>
      <c r="UAZ492" s="106"/>
      <c r="UBA492" s="106"/>
      <c r="UBB492" s="106"/>
      <c r="UBC492" s="106"/>
      <c r="UBD492" s="106"/>
      <c r="UBE492" s="106"/>
      <c r="UBF492" s="106"/>
      <c r="UBG492" s="106"/>
      <c r="UBH492" s="106"/>
      <c r="UBI492" s="106"/>
      <c r="UBJ492" s="106"/>
      <c r="UBK492" s="106"/>
      <c r="UBL492" s="106"/>
      <c r="UBM492" s="106"/>
      <c r="UBN492" s="106"/>
      <c r="UBO492" s="106"/>
      <c r="UBP492" s="106"/>
      <c r="UBQ492" s="106"/>
      <c r="UBR492" s="106"/>
      <c r="UBS492" s="106"/>
      <c r="UBT492" s="106"/>
      <c r="UBU492" s="106"/>
      <c r="UBV492" s="106"/>
      <c r="UBW492" s="106"/>
      <c r="UBX492" s="106"/>
      <c r="UBY492" s="106"/>
      <c r="UBZ492" s="106"/>
      <c r="UCA492" s="106"/>
      <c r="UCB492" s="106"/>
      <c r="UCC492" s="106"/>
      <c r="UCD492" s="106"/>
      <c r="UCE492" s="106"/>
      <c r="UCF492" s="106"/>
      <c r="UCG492" s="106"/>
      <c r="UCH492" s="106"/>
      <c r="UCI492" s="106"/>
      <c r="UCJ492" s="106"/>
      <c r="UCK492" s="106"/>
      <c r="UCL492" s="106"/>
      <c r="UCM492" s="106"/>
      <c r="UCN492" s="106"/>
      <c r="UCO492" s="106"/>
      <c r="UCP492" s="106"/>
      <c r="UCQ492" s="106"/>
      <c r="UCR492" s="106"/>
      <c r="UCS492" s="106"/>
      <c r="UCT492" s="106"/>
      <c r="UCU492" s="106"/>
      <c r="UCV492" s="106"/>
      <c r="UCW492" s="106"/>
      <c r="UCX492" s="106"/>
      <c r="UCY492" s="106"/>
      <c r="UCZ492" s="106"/>
      <c r="UDA492" s="106"/>
      <c r="UDB492" s="106"/>
      <c r="UDC492" s="106"/>
      <c r="UDD492" s="106"/>
      <c r="UDE492" s="106"/>
      <c r="UDF492" s="106"/>
      <c r="UDG492" s="106"/>
      <c r="UDH492" s="106"/>
      <c r="UDI492" s="106"/>
      <c r="UDJ492" s="106"/>
      <c r="UDK492" s="106"/>
      <c r="UDL492" s="106"/>
      <c r="UDM492" s="106"/>
      <c r="UDN492" s="106"/>
      <c r="UDO492" s="106"/>
      <c r="UDP492" s="106"/>
      <c r="UDQ492" s="106"/>
      <c r="UDR492" s="106"/>
      <c r="UDS492" s="106"/>
      <c r="UDT492" s="106"/>
      <c r="UDU492" s="106"/>
      <c r="UDV492" s="106"/>
      <c r="UDW492" s="106"/>
      <c r="UDX492" s="106"/>
      <c r="UDY492" s="106"/>
      <c r="UDZ492" s="106"/>
      <c r="UEA492" s="106"/>
      <c r="UEB492" s="106"/>
      <c r="UEC492" s="106"/>
      <c r="UED492" s="106"/>
      <c r="UEE492" s="106"/>
      <c r="UEF492" s="106"/>
      <c r="UEG492" s="106"/>
      <c r="UEH492" s="106"/>
      <c r="UEI492" s="106"/>
      <c r="UEJ492" s="106"/>
      <c r="UEK492" s="106"/>
      <c r="UEL492" s="106"/>
      <c r="UEM492" s="106"/>
      <c r="UEN492" s="106"/>
      <c r="UEO492" s="106"/>
      <c r="UEP492" s="106"/>
      <c r="UEQ492" s="106"/>
      <c r="UER492" s="106"/>
      <c r="UES492" s="106"/>
      <c r="UET492" s="106"/>
      <c r="UEU492" s="106"/>
      <c r="UEV492" s="106"/>
      <c r="UEW492" s="106"/>
      <c r="UEX492" s="106"/>
      <c r="UEY492" s="106"/>
      <c r="UEZ492" s="106"/>
      <c r="UFA492" s="106"/>
      <c r="UFB492" s="106"/>
      <c r="UFC492" s="106"/>
      <c r="UFD492" s="106"/>
      <c r="UFE492" s="106"/>
      <c r="UFF492" s="106"/>
      <c r="UFG492" s="106"/>
      <c r="UFH492" s="106"/>
      <c r="UFI492" s="106"/>
      <c r="UFJ492" s="106"/>
      <c r="UFK492" s="106"/>
      <c r="UFL492" s="106"/>
      <c r="UFM492" s="106"/>
      <c r="UFN492" s="106"/>
      <c r="UFO492" s="106"/>
      <c r="UFP492" s="106"/>
      <c r="UFQ492" s="106"/>
      <c r="UFR492" s="106"/>
      <c r="UFS492" s="106"/>
      <c r="UFT492" s="106"/>
      <c r="UFU492" s="106"/>
      <c r="UFV492" s="106"/>
      <c r="UFW492" s="106"/>
      <c r="UFX492" s="106"/>
      <c r="UFY492" s="106"/>
      <c r="UFZ492" s="106"/>
      <c r="UGA492" s="106"/>
      <c r="UGB492" s="106"/>
      <c r="UGC492" s="106"/>
      <c r="UGD492" s="106"/>
      <c r="UGE492" s="106"/>
      <c r="UGF492" s="106"/>
      <c r="UGG492" s="106"/>
      <c r="UGH492" s="106"/>
      <c r="UGI492" s="106"/>
      <c r="UGJ492" s="106"/>
      <c r="UGK492" s="106"/>
      <c r="UGL492" s="106"/>
      <c r="UGM492" s="106"/>
      <c r="UGN492" s="106"/>
      <c r="UGO492" s="106"/>
      <c r="UGP492" s="106"/>
      <c r="UGQ492" s="106"/>
      <c r="UGR492" s="106"/>
      <c r="UGS492" s="106"/>
      <c r="UGT492" s="106"/>
      <c r="UGU492" s="106"/>
      <c r="UGV492" s="106"/>
      <c r="UGW492" s="106"/>
      <c r="UGX492" s="106"/>
      <c r="UGY492" s="106"/>
      <c r="UGZ492" s="106"/>
      <c r="UHA492" s="106"/>
      <c r="UHB492" s="106"/>
      <c r="UHC492" s="106"/>
      <c r="UHD492" s="106"/>
      <c r="UHE492" s="106"/>
      <c r="UHF492" s="106"/>
      <c r="UHG492" s="106"/>
      <c r="UHH492" s="106"/>
      <c r="UHI492" s="106"/>
      <c r="UHJ492" s="106"/>
      <c r="UHK492" s="106"/>
      <c r="UHL492" s="106"/>
      <c r="UHM492" s="106"/>
      <c r="UHN492" s="106"/>
      <c r="UHO492" s="106"/>
      <c r="UHP492" s="106"/>
      <c r="UHQ492" s="106"/>
      <c r="UHR492" s="106"/>
      <c r="UHS492" s="106"/>
      <c r="UHT492" s="106"/>
      <c r="UHU492" s="106"/>
      <c r="UHV492" s="106"/>
      <c r="UHW492" s="106"/>
      <c r="UHX492" s="106"/>
      <c r="UHY492" s="106"/>
      <c r="UHZ492" s="106"/>
      <c r="UIA492" s="106"/>
      <c r="UIB492" s="106"/>
      <c r="UIC492" s="106"/>
      <c r="UID492" s="106"/>
      <c r="UIE492" s="106"/>
      <c r="UIF492" s="106"/>
      <c r="UIG492" s="106"/>
      <c r="UIH492" s="106"/>
      <c r="UII492" s="106"/>
      <c r="UIJ492" s="106"/>
      <c r="UIK492" s="106"/>
      <c r="UIL492" s="106"/>
      <c r="UIM492" s="106"/>
      <c r="UIN492" s="106"/>
      <c r="UIO492" s="106"/>
      <c r="UIP492" s="106"/>
      <c r="UIQ492" s="106"/>
      <c r="UIR492" s="106"/>
      <c r="UIS492" s="106"/>
      <c r="UIT492" s="106"/>
      <c r="UIU492" s="106"/>
      <c r="UIV492" s="106"/>
      <c r="UIW492" s="106"/>
      <c r="UIX492" s="106"/>
      <c r="UIY492" s="106"/>
      <c r="UIZ492" s="106"/>
      <c r="UJA492" s="106"/>
      <c r="UJB492" s="106"/>
      <c r="UJC492" s="106"/>
      <c r="UJD492" s="106"/>
      <c r="UJE492" s="106"/>
      <c r="UJF492" s="106"/>
      <c r="UJG492" s="106"/>
      <c r="UJH492" s="106"/>
      <c r="UJI492" s="106"/>
      <c r="UJJ492" s="106"/>
      <c r="UJK492" s="106"/>
      <c r="UJL492" s="106"/>
      <c r="UJM492" s="106"/>
      <c r="UJN492" s="106"/>
      <c r="UJO492" s="106"/>
      <c r="UJP492" s="106"/>
      <c r="UJQ492" s="106"/>
      <c r="UJR492" s="106"/>
      <c r="UJS492" s="106"/>
      <c r="UJT492" s="106"/>
      <c r="UJU492" s="106"/>
      <c r="UJV492" s="106"/>
      <c r="UJW492" s="106"/>
      <c r="UJX492" s="106"/>
      <c r="UJY492" s="106"/>
      <c r="UJZ492" s="106"/>
      <c r="UKA492" s="106"/>
      <c r="UKB492" s="106"/>
      <c r="UKC492" s="106"/>
      <c r="UKD492" s="106"/>
      <c r="UKE492" s="106"/>
      <c r="UKF492" s="106"/>
      <c r="UKG492" s="106"/>
      <c r="UKH492" s="106"/>
      <c r="UKI492" s="106"/>
      <c r="UKJ492" s="106"/>
      <c r="UKK492" s="106"/>
      <c r="UKL492" s="106"/>
      <c r="UKM492" s="106"/>
      <c r="UKN492" s="106"/>
      <c r="UKO492" s="106"/>
      <c r="UKP492" s="106"/>
      <c r="UKQ492" s="106"/>
      <c r="UKR492" s="106"/>
      <c r="UKS492" s="106"/>
      <c r="UKT492" s="106"/>
      <c r="UKU492" s="106"/>
      <c r="UKV492" s="106"/>
      <c r="UKW492" s="106"/>
      <c r="UKX492" s="106"/>
      <c r="UKY492" s="106"/>
      <c r="UKZ492" s="106"/>
      <c r="ULA492" s="106"/>
      <c r="ULB492" s="106"/>
      <c r="ULC492" s="106"/>
      <c r="ULD492" s="106"/>
      <c r="ULE492" s="106"/>
      <c r="ULF492" s="106"/>
      <c r="ULG492" s="106"/>
      <c r="ULH492" s="106"/>
      <c r="ULI492" s="106"/>
      <c r="ULJ492" s="106"/>
      <c r="ULK492" s="106"/>
      <c r="ULL492" s="106"/>
      <c r="ULM492" s="106"/>
      <c r="ULN492" s="106"/>
      <c r="ULO492" s="106"/>
      <c r="ULP492" s="106"/>
      <c r="ULQ492" s="106"/>
      <c r="ULR492" s="106"/>
      <c r="ULS492" s="106"/>
      <c r="ULT492" s="106"/>
      <c r="ULU492" s="106"/>
      <c r="ULV492" s="106"/>
      <c r="ULW492" s="106"/>
      <c r="ULX492" s="106"/>
      <c r="ULY492" s="106"/>
      <c r="ULZ492" s="106"/>
      <c r="UMA492" s="106"/>
      <c r="UMB492" s="106"/>
      <c r="UMC492" s="106"/>
      <c r="UMD492" s="106"/>
      <c r="UME492" s="106"/>
      <c r="UMF492" s="106"/>
      <c r="UMG492" s="106"/>
      <c r="UMH492" s="106"/>
      <c r="UMI492" s="106"/>
      <c r="UMJ492" s="106"/>
      <c r="UMK492" s="106"/>
      <c r="UML492" s="106"/>
      <c r="UMM492" s="106"/>
      <c r="UMN492" s="106"/>
      <c r="UMO492" s="106"/>
      <c r="UMP492" s="106"/>
      <c r="UMQ492" s="106"/>
      <c r="UMR492" s="106"/>
      <c r="UMS492" s="106"/>
      <c r="UMT492" s="106"/>
      <c r="UMU492" s="106"/>
      <c r="UMV492" s="106"/>
      <c r="UMW492" s="106"/>
      <c r="UMX492" s="106"/>
      <c r="UMY492" s="106"/>
      <c r="UMZ492" s="106"/>
      <c r="UNA492" s="106"/>
      <c r="UNB492" s="106"/>
      <c r="UNC492" s="106"/>
      <c r="UND492" s="106"/>
      <c r="UNE492" s="106"/>
      <c r="UNF492" s="106"/>
      <c r="UNG492" s="106"/>
      <c r="UNH492" s="106"/>
      <c r="UNI492" s="106"/>
      <c r="UNJ492" s="106"/>
      <c r="UNK492" s="106"/>
      <c r="UNL492" s="106"/>
      <c r="UNM492" s="106"/>
      <c r="UNN492" s="106"/>
      <c r="UNO492" s="106"/>
      <c r="UNP492" s="106"/>
      <c r="UNQ492" s="106"/>
      <c r="UNR492" s="106"/>
      <c r="UNS492" s="106"/>
      <c r="UNT492" s="106"/>
      <c r="UNU492" s="106"/>
      <c r="UNV492" s="106"/>
      <c r="UNW492" s="106"/>
      <c r="UNX492" s="106"/>
      <c r="UNY492" s="106"/>
      <c r="UNZ492" s="106"/>
      <c r="UOA492" s="106"/>
      <c r="UOB492" s="106"/>
      <c r="UOC492" s="106"/>
      <c r="UOD492" s="106"/>
      <c r="UOE492" s="106"/>
      <c r="UOF492" s="106"/>
      <c r="UOG492" s="106"/>
      <c r="UOH492" s="106"/>
      <c r="UOI492" s="106"/>
      <c r="UOJ492" s="106"/>
      <c r="UOK492" s="106"/>
      <c r="UOL492" s="106"/>
      <c r="UOM492" s="106"/>
      <c r="UON492" s="106"/>
      <c r="UOO492" s="106"/>
      <c r="UOP492" s="106"/>
      <c r="UOQ492" s="106"/>
      <c r="UOR492" s="106"/>
      <c r="UOS492" s="106"/>
      <c r="UOT492" s="106"/>
      <c r="UOU492" s="106"/>
      <c r="UOV492" s="106"/>
      <c r="UOW492" s="106"/>
      <c r="UOX492" s="106"/>
      <c r="UOY492" s="106"/>
      <c r="UOZ492" s="106"/>
      <c r="UPA492" s="106"/>
      <c r="UPB492" s="106"/>
      <c r="UPC492" s="106"/>
      <c r="UPD492" s="106"/>
      <c r="UPE492" s="106"/>
      <c r="UPF492" s="106"/>
      <c r="UPG492" s="106"/>
      <c r="UPH492" s="106"/>
      <c r="UPI492" s="106"/>
      <c r="UPJ492" s="106"/>
      <c r="UPK492" s="106"/>
      <c r="UPL492" s="106"/>
      <c r="UPM492" s="106"/>
      <c r="UPN492" s="106"/>
      <c r="UPO492" s="106"/>
      <c r="UPP492" s="106"/>
      <c r="UPQ492" s="106"/>
      <c r="UPR492" s="106"/>
      <c r="UPS492" s="106"/>
      <c r="UPT492" s="106"/>
      <c r="UPU492" s="106"/>
      <c r="UPV492" s="106"/>
      <c r="UPW492" s="106"/>
      <c r="UPX492" s="106"/>
      <c r="UPY492" s="106"/>
      <c r="UPZ492" s="106"/>
      <c r="UQA492" s="106"/>
      <c r="UQB492" s="106"/>
      <c r="UQC492" s="106"/>
      <c r="UQD492" s="106"/>
      <c r="UQE492" s="106"/>
      <c r="UQF492" s="106"/>
      <c r="UQG492" s="106"/>
      <c r="UQH492" s="106"/>
      <c r="UQI492" s="106"/>
      <c r="UQJ492" s="106"/>
      <c r="UQK492" s="106"/>
      <c r="UQL492" s="106"/>
      <c r="UQM492" s="106"/>
      <c r="UQN492" s="106"/>
      <c r="UQO492" s="106"/>
      <c r="UQP492" s="106"/>
      <c r="UQQ492" s="106"/>
      <c r="UQR492" s="106"/>
      <c r="UQS492" s="106"/>
      <c r="UQT492" s="106"/>
      <c r="UQU492" s="106"/>
      <c r="UQV492" s="106"/>
      <c r="UQW492" s="106"/>
      <c r="UQX492" s="106"/>
      <c r="UQY492" s="106"/>
      <c r="UQZ492" s="106"/>
      <c r="URA492" s="106"/>
      <c r="URB492" s="106"/>
      <c r="URC492" s="106"/>
      <c r="URD492" s="106"/>
      <c r="URE492" s="106"/>
      <c r="URF492" s="106"/>
      <c r="URG492" s="106"/>
      <c r="URH492" s="106"/>
      <c r="URI492" s="106"/>
      <c r="URJ492" s="106"/>
      <c r="URK492" s="106"/>
      <c r="URL492" s="106"/>
      <c r="URM492" s="106"/>
      <c r="URN492" s="106"/>
      <c r="URO492" s="106"/>
      <c r="URP492" s="106"/>
      <c r="URQ492" s="106"/>
      <c r="URR492" s="106"/>
      <c r="URS492" s="106"/>
      <c r="URT492" s="106"/>
      <c r="URU492" s="106"/>
      <c r="URV492" s="106"/>
      <c r="URW492" s="106"/>
      <c r="URX492" s="106"/>
      <c r="URY492" s="106"/>
      <c r="URZ492" s="106"/>
      <c r="USA492" s="106"/>
      <c r="USB492" s="106"/>
      <c r="USC492" s="106"/>
      <c r="USD492" s="106"/>
      <c r="USE492" s="106"/>
      <c r="USF492" s="106"/>
      <c r="USG492" s="106"/>
      <c r="USH492" s="106"/>
      <c r="USI492" s="106"/>
      <c r="USJ492" s="106"/>
      <c r="USK492" s="106"/>
      <c r="USL492" s="106"/>
      <c r="USM492" s="106"/>
      <c r="USN492" s="106"/>
      <c r="USO492" s="106"/>
      <c r="USP492" s="106"/>
      <c r="USQ492" s="106"/>
      <c r="USR492" s="106"/>
      <c r="USS492" s="106"/>
      <c r="UST492" s="106"/>
      <c r="USU492" s="106"/>
      <c r="USV492" s="106"/>
      <c r="USW492" s="106"/>
      <c r="USX492" s="106"/>
      <c r="USY492" s="106"/>
      <c r="USZ492" s="106"/>
      <c r="UTA492" s="106"/>
      <c r="UTB492" s="106"/>
      <c r="UTC492" s="106"/>
      <c r="UTD492" s="106"/>
      <c r="UTE492" s="106"/>
      <c r="UTF492" s="106"/>
      <c r="UTG492" s="106"/>
      <c r="UTH492" s="106"/>
      <c r="UTI492" s="106"/>
      <c r="UTJ492" s="106"/>
      <c r="UTK492" s="106"/>
      <c r="UTL492" s="106"/>
      <c r="UTM492" s="106"/>
      <c r="UTN492" s="106"/>
      <c r="UTO492" s="106"/>
      <c r="UTP492" s="106"/>
      <c r="UTQ492" s="106"/>
      <c r="UTR492" s="106"/>
      <c r="UTS492" s="106"/>
      <c r="UTT492" s="106"/>
      <c r="UTU492" s="106"/>
      <c r="UTV492" s="106"/>
      <c r="UTW492" s="106"/>
      <c r="UTX492" s="106"/>
      <c r="UTY492" s="106"/>
      <c r="UTZ492" s="106"/>
      <c r="UUA492" s="106"/>
      <c r="UUB492" s="106"/>
      <c r="UUC492" s="106"/>
      <c r="UUD492" s="106"/>
      <c r="UUE492" s="106"/>
      <c r="UUF492" s="106"/>
      <c r="UUG492" s="106"/>
      <c r="UUH492" s="106"/>
      <c r="UUI492" s="106"/>
      <c r="UUJ492" s="106"/>
      <c r="UUK492" s="106"/>
      <c r="UUL492" s="106"/>
      <c r="UUM492" s="106"/>
      <c r="UUN492" s="106"/>
      <c r="UUO492" s="106"/>
      <c r="UUP492" s="106"/>
      <c r="UUQ492" s="106"/>
      <c r="UUR492" s="106"/>
      <c r="UUS492" s="106"/>
      <c r="UUT492" s="106"/>
      <c r="UUU492" s="106"/>
      <c r="UUV492" s="106"/>
      <c r="UUW492" s="106"/>
      <c r="UUX492" s="106"/>
      <c r="UUY492" s="106"/>
      <c r="UUZ492" s="106"/>
      <c r="UVA492" s="106"/>
      <c r="UVB492" s="106"/>
      <c r="UVC492" s="106"/>
      <c r="UVD492" s="106"/>
      <c r="UVE492" s="106"/>
      <c r="UVF492" s="106"/>
      <c r="UVG492" s="106"/>
      <c r="UVH492" s="106"/>
      <c r="UVI492" s="106"/>
      <c r="UVJ492" s="106"/>
      <c r="UVK492" s="106"/>
      <c r="UVL492" s="106"/>
      <c r="UVM492" s="106"/>
      <c r="UVN492" s="106"/>
      <c r="UVO492" s="106"/>
      <c r="UVP492" s="106"/>
      <c r="UVQ492" s="106"/>
      <c r="UVR492" s="106"/>
      <c r="UVS492" s="106"/>
      <c r="UVT492" s="106"/>
      <c r="UVU492" s="106"/>
      <c r="UVV492" s="106"/>
      <c r="UVW492" s="106"/>
      <c r="UVX492" s="106"/>
      <c r="UVY492" s="106"/>
      <c r="UVZ492" s="106"/>
      <c r="UWA492" s="106"/>
      <c r="UWB492" s="106"/>
      <c r="UWC492" s="106"/>
      <c r="UWD492" s="106"/>
      <c r="UWE492" s="106"/>
      <c r="UWF492" s="106"/>
      <c r="UWG492" s="106"/>
      <c r="UWH492" s="106"/>
      <c r="UWI492" s="106"/>
      <c r="UWJ492" s="106"/>
      <c r="UWK492" s="106"/>
      <c r="UWL492" s="106"/>
      <c r="UWM492" s="106"/>
      <c r="UWN492" s="106"/>
      <c r="UWO492" s="106"/>
      <c r="UWP492" s="106"/>
      <c r="UWQ492" s="106"/>
      <c r="UWR492" s="106"/>
      <c r="UWS492" s="106"/>
      <c r="UWT492" s="106"/>
      <c r="UWU492" s="106"/>
      <c r="UWV492" s="106"/>
      <c r="UWW492" s="106"/>
      <c r="UWX492" s="106"/>
      <c r="UWY492" s="106"/>
      <c r="UWZ492" s="106"/>
      <c r="UXA492" s="106"/>
      <c r="UXB492" s="106"/>
      <c r="UXC492" s="106"/>
      <c r="UXD492" s="106"/>
      <c r="UXE492" s="106"/>
      <c r="UXF492" s="106"/>
      <c r="UXG492" s="106"/>
      <c r="UXH492" s="106"/>
      <c r="UXI492" s="106"/>
      <c r="UXJ492" s="106"/>
      <c r="UXK492" s="106"/>
      <c r="UXL492" s="106"/>
      <c r="UXM492" s="106"/>
      <c r="UXN492" s="106"/>
      <c r="UXO492" s="106"/>
      <c r="UXP492" s="106"/>
      <c r="UXQ492" s="106"/>
      <c r="UXR492" s="106"/>
      <c r="UXS492" s="106"/>
      <c r="UXT492" s="106"/>
      <c r="UXU492" s="106"/>
      <c r="UXV492" s="106"/>
      <c r="UXW492" s="106"/>
      <c r="UXX492" s="106"/>
      <c r="UXY492" s="106"/>
      <c r="UXZ492" s="106"/>
      <c r="UYA492" s="106"/>
      <c r="UYB492" s="106"/>
      <c r="UYC492" s="106"/>
      <c r="UYD492" s="106"/>
      <c r="UYE492" s="106"/>
      <c r="UYF492" s="106"/>
      <c r="UYG492" s="106"/>
      <c r="UYH492" s="106"/>
      <c r="UYI492" s="106"/>
      <c r="UYJ492" s="106"/>
      <c r="UYK492" s="106"/>
      <c r="UYL492" s="106"/>
      <c r="UYM492" s="106"/>
      <c r="UYN492" s="106"/>
      <c r="UYO492" s="106"/>
      <c r="UYP492" s="106"/>
      <c r="UYQ492" s="106"/>
      <c r="UYR492" s="106"/>
      <c r="UYS492" s="106"/>
      <c r="UYT492" s="106"/>
      <c r="UYU492" s="106"/>
      <c r="UYV492" s="106"/>
      <c r="UYW492" s="106"/>
      <c r="UYX492" s="106"/>
      <c r="UYY492" s="106"/>
      <c r="UYZ492" s="106"/>
      <c r="UZA492" s="106"/>
      <c r="UZB492" s="106"/>
      <c r="UZC492" s="106"/>
      <c r="UZD492" s="106"/>
      <c r="UZE492" s="106"/>
      <c r="UZF492" s="106"/>
      <c r="UZG492" s="106"/>
      <c r="UZH492" s="106"/>
      <c r="UZI492" s="106"/>
      <c r="UZJ492" s="106"/>
      <c r="UZK492" s="106"/>
      <c r="UZL492" s="106"/>
      <c r="UZM492" s="106"/>
      <c r="UZN492" s="106"/>
      <c r="UZO492" s="106"/>
      <c r="UZP492" s="106"/>
      <c r="UZQ492" s="106"/>
      <c r="UZR492" s="106"/>
      <c r="UZS492" s="106"/>
      <c r="UZT492" s="106"/>
      <c r="UZU492" s="106"/>
      <c r="UZV492" s="106"/>
      <c r="UZW492" s="106"/>
      <c r="UZX492" s="106"/>
      <c r="UZY492" s="106"/>
      <c r="UZZ492" s="106"/>
      <c r="VAA492" s="106"/>
      <c r="VAB492" s="106"/>
      <c r="VAC492" s="106"/>
      <c r="VAD492" s="106"/>
      <c r="VAE492" s="106"/>
      <c r="VAF492" s="106"/>
      <c r="VAG492" s="106"/>
      <c r="VAH492" s="106"/>
      <c r="VAI492" s="106"/>
      <c r="VAJ492" s="106"/>
      <c r="VAK492" s="106"/>
      <c r="VAL492" s="106"/>
      <c r="VAM492" s="106"/>
      <c r="VAN492" s="106"/>
      <c r="VAO492" s="106"/>
      <c r="VAP492" s="106"/>
      <c r="VAQ492" s="106"/>
      <c r="VAR492" s="106"/>
      <c r="VAS492" s="106"/>
      <c r="VAT492" s="106"/>
      <c r="VAU492" s="106"/>
      <c r="VAV492" s="106"/>
      <c r="VAW492" s="106"/>
      <c r="VAX492" s="106"/>
      <c r="VAY492" s="106"/>
      <c r="VAZ492" s="106"/>
      <c r="VBA492" s="106"/>
      <c r="VBB492" s="106"/>
      <c r="VBC492" s="106"/>
      <c r="VBD492" s="106"/>
      <c r="VBE492" s="106"/>
      <c r="VBF492" s="106"/>
      <c r="VBG492" s="106"/>
      <c r="VBH492" s="106"/>
      <c r="VBI492" s="106"/>
      <c r="VBJ492" s="106"/>
      <c r="VBK492" s="106"/>
      <c r="VBL492" s="106"/>
      <c r="VBM492" s="106"/>
      <c r="VBN492" s="106"/>
      <c r="VBO492" s="106"/>
      <c r="VBP492" s="106"/>
      <c r="VBQ492" s="106"/>
      <c r="VBR492" s="106"/>
      <c r="VBS492" s="106"/>
      <c r="VBT492" s="106"/>
      <c r="VBU492" s="106"/>
      <c r="VBV492" s="106"/>
      <c r="VBW492" s="106"/>
      <c r="VBX492" s="106"/>
      <c r="VBY492" s="106"/>
      <c r="VBZ492" s="106"/>
      <c r="VCA492" s="106"/>
      <c r="VCB492" s="106"/>
      <c r="VCC492" s="106"/>
      <c r="VCD492" s="106"/>
      <c r="VCE492" s="106"/>
      <c r="VCF492" s="106"/>
      <c r="VCG492" s="106"/>
      <c r="VCH492" s="106"/>
      <c r="VCI492" s="106"/>
      <c r="VCJ492" s="106"/>
      <c r="VCK492" s="106"/>
      <c r="VCL492" s="106"/>
      <c r="VCM492" s="106"/>
      <c r="VCN492" s="106"/>
      <c r="VCO492" s="106"/>
      <c r="VCP492" s="106"/>
      <c r="VCQ492" s="106"/>
      <c r="VCR492" s="106"/>
      <c r="VCS492" s="106"/>
      <c r="VCT492" s="106"/>
      <c r="VCU492" s="106"/>
      <c r="VCV492" s="106"/>
      <c r="VCW492" s="106"/>
      <c r="VCX492" s="106"/>
      <c r="VCY492" s="106"/>
      <c r="VCZ492" s="106"/>
      <c r="VDA492" s="106"/>
      <c r="VDB492" s="106"/>
      <c r="VDC492" s="106"/>
      <c r="VDD492" s="106"/>
      <c r="VDE492" s="106"/>
      <c r="VDF492" s="106"/>
      <c r="VDG492" s="106"/>
      <c r="VDH492" s="106"/>
      <c r="VDI492" s="106"/>
      <c r="VDJ492" s="106"/>
      <c r="VDK492" s="106"/>
      <c r="VDL492" s="106"/>
      <c r="VDM492" s="106"/>
      <c r="VDN492" s="106"/>
      <c r="VDO492" s="106"/>
      <c r="VDP492" s="106"/>
      <c r="VDQ492" s="106"/>
      <c r="VDR492" s="106"/>
      <c r="VDS492" s="106"/>
      <c r="VDT492" s="106"/>
      <c r="VDU492" s="106"/>
      <c r="VDV492" s="106"/>
      <c r="VDW492" s="106"/>
      <c r="VDX492" s="106"/>
      <c r="VDY492" s="106"/>
      <c r="VDZ492" s="106"/>
      <c r="VEA492" s="106"/>
      <c r="VEB492" s="106"/>
      <c r="VEC492" s="106"/>
      <c r="VED492" s="106"/>
      <c r="VEE492" s="106"/>
      <c r="VEF492" s="106"/>
      <c r="VEG492" s="106"/>
      <c r="VEH492" s="106"/>
      <c r="VEI492" s="106"/>
      <c r="VEJ492" s="106"/>
      <c r="VEK492" s="106"/>
      <c r="VEL492" s="106"/>
      <c r="VEM492" s="106"/>
      <c r="VEN492" s="106"/>
      <c r="VEO492" s="106"/>
      <c r="VEP492" s="106"/>
      <c r="VEQ492" s="106"/>
      <c r="VER492" s="106"/>
      <c r="VES492" s="106"/>
      <c r="VET492" s="106"/>
      <c r="VEU492" s="106"/>
      <c r="VEV492" s="106"/>
      <c r="VEW492" s="106"/>
      <c r="VEX492" s="106"/>
      <c r="VEY492" s="106"/>
      <c r="VEZ492" s="106"/>
      <c r="VFA492" s="106"/>
      <c r="VFB492" s="106"/>
      <c r="VFC492" s="106"/>
      <c r="VFD492" s="106"/>
      <c r="VFE492" s="106"/>
      <c r="VFF492" s="106"/>
      <c r="VFG492" s="106"/>
      <c r="VFH492" s="106"/>
      <c r="VFI492" s="106"/>
      <c r="VFJ492" s="106"/>
      <c r="VFK492" s="106"/>
      <c r="VFL492" s="106"/>
      <c r="VFM492" s="106"/>
      <c r="VFN492" s="106"/>
      <c r="VFO492" s="106"/>
      <c r="VFP492" s="106"/>
      <c r="VFQ492" s="106"/>
      <c r="VFR492" s="106"/>
      <c r="VFS492" s="106"/>
      <c r="VFT492" s="106"/>
      <c r="VFU492" s="106"/>
      <c r="VFV492" s="106"/>
      <c r="VFW492" s="106"/>
      <c r="VFX492" s="106"/>
      <c r="VFY492" s="106"/>
      <c r="VFZ492" s="106"/>
      <c r="VGA492" s="106"/>
      <c r="VGB492" s="106"/>
      <c r="VGC492" s="106"/>
      <c r="VGD492" s="106"/>
      <c r="VGE492" s="106"/>
      <c r="VGF492" s="106"/>
      <c r="VGG492" s="106"/>
      <c r="VGH492" s="106"/>
      <c r="VGI492" s="106"/>
      <c r="VGJ492" s="106"/>
      <c r="VGK492" s="106"/>
      <c r="VGL492" s="106"/>
      <c r="VGM492" s="106"/>
      <c r="VGN492" s="106"/>
      <c r="VGO492" s="106"/>
      <c r="VGP492" s="106"/>
      <c r="VGQ492" s="106"/>
      <c r="VGR492" s="106"/>
      <c r="VGS492" s="106"/>
      <c r="VGT492" s="106"/>
      <c r="VGU492" s="106"/>
      <c r="VGV492" s="106"/>
      <c r="VGW492" s="106"/>
      <c r="VGX492" s="106"/>
      <c r="VGY492" s="106"/>
      <c r="VGZ492" s="106"/>
      <c r="VHA492" s="106"/>
      <c r="VHB492" s="106"/>
      <c r="VHC492" s="106"/>
      <c r="VHD492" s="106"/>
      <c r="VHE492" s="106"/>
      <c r="VHF492" s="106"/>
      <c r="VHG492" s="106"/>
      <c r="VHH492" s="106"/>
      <c r="VHI492" s="106"/>
      <c r="VHJ492" s="106"/>
      <c r="VHK492" s="106"/>
      <c r="VHL492" s="106"/>
      <c r="VHM492" s="106"/>
      <c r="VHN492" s="106"/>
      <c r="VHO492" s="106"/>
      <c r="VHP492" s="106"/>
      <c r="VHQ492" s="106"/>
      <c r="VHR492" s="106"/>
      <c r="VHS492" s="106"/>
      <c r="VHT492" s="106"/>
      <c r="VHU492" s="106"/>
      <c r="VHV492" s="106"/>
      <c r="VHW492" s="106"/>
      <c r="VHX492" s="106"/>
      <c r="VHY492" s="106"/>
      <c r="VHZ492" s="106"/>
      <c r="VIA492" s="106"/>
      <c r="VIB492" s="106"/>
      <c r="VIC492" s="106"/>
      <c r="VID492" s="106"/>
      <c r="VIE492" s="106"/>
      <c r="VIF492" s="106"/>
      <c r="VIG492" s="106"/>
      <c r="VIH492" s="106"/>
      <c r="VII492" s="106"/>
      <c r="VIJ492" s="106"/>
      <c r="VIK492" s="106"/>
      <c r="VIL492" s="106"/>
      <c r="VIM492" s="106"/>
      <c r="VIN492" s="106"/>
      <c r="VIO492" s="106"/>
      <c r="VIP492" s="106"/>
      <c r="VIQ492" s="106"/>
      <c r="VIR492" s="106"/>
      <c r="VIS492" s="106"/>
      <c r="VIT492" s="106"/>
      <c r="VIU492" s="106"/>
      <c r="VIV492" s="106"/>
      <c r="VIW492" s="106"/>
      <c r="VIX492" s="106"/>
      <c r="VIY492" s="106"/>
      <c r="VIZ492" s="106"/>
      <c r="VJA492" s="106"/>
      <c r="VJB492" s="106"/>
      <c r="VJC492" s="106"/>
      <c r="VJD492" s="106"/>
      <c r="VJE492" s="106"/>
      <c r="VJF492" s="106"/>
      <c r="VJG492" s="106"/>
      <c r="VJH492" s="106"/>
      <c r="VJI492" s="106"/>
      <c r="VJJ492" s="106"/>
      <c r="VJK492" s="106"/>
      <c r="VJL492" s="106"/>
      <c r="VJM492" s="106"/>
      <c r="VJN492" s="106"/>
      <c r="VJO492" s="106"/>
      <c r="VJP492" s="106"/>
      <c r="VJQ492" s="106"/>
      <c r="VJR492" s="106"/>
      <c r="VJS492" s="106"/>
      <c r="VJT492" s="106"/>
      <c r="VJU492" s="106"/>
      <c r="VJV492" s="106"/>
      <c r="VJW492" s="106"/>
      <c r="VJX492" s="106"/>
      <c r="VJY492" s="106"/>
      <c r="VJZ492" s="106"/>
      <c r="VKA492" s="106"/>
      <c r="VKB492" s="106"/>
      <c r="VKC492" s="106"/>
      <c r="VKD492" s="106"/>
      <c r="VKE492" s="106"/>
      <c r="VKF492" s="106"/>
      <c r="VKG492" s="106"/>
      <c r="VKH492" s="106"/>
      <c r="VKI492" s="106"/>
      <c r="VKJ492" s="106"/>
      <c r="VKK492" s="106"/>
      <c r="VKL492" s="106"/>
      <c r="VKM492" s="106"/>
      <c r="VKN492" s="106"/>
      <c r="VKO492" s="106"/>
      <c r="VKP492" s="106"/>
      <c r="VKQ492" s="106"/>
      <c r="VKR492" s="106"/>
      <c r="VKS492" s="106"/>
      <c r="VKT492" s="106"/>
      <c r="VKU492" s="106"/>
      <c r="VKV492" s="106"/>
      <c r="VKW492" s="106"/>
      <c r="VKX492" s="106"/>
      <c r="VKY492" s="106"/>
      <c r="VKZ492" s="106"/>
      <c r="VLA492" s="106"/>
      <c r="VLB492" s="106"/>
      <c r="VLC492" s="106"/>
      <c r="VLD492" s="106"/>
      <c r="VLE492" s="106"/>
      <c r="VLF492" s="106"/>
      <c r="VLG492" s="106"/>
      <c r="VLH492" s="106"/>
      <c r="VLI492" s="106"/>
      <c r="VLJ492" s="106"/>
      <c r="VLK492" s="106"/>
      <c r="VLL492" s="106"/>
      <c r="VLM492" s="106"/>
      <c r="VLN492" s="106"/>
      <c r="VLO492" s="106"/>
      <c r="VLP492" s="106"/>
      <c r="VLQ492" s="106"/>
      <c r="VLR492" s="106"/>
      <c r="VLS492" s="106"/>
      <c r="VLT492" s="106"/>
      <c r="VLU492" s="106"/>
      <c r="VLV492" s="106"/>
      <c r="VLW492" s="106"/>
      <c r="VLX492" s="106"/>
      <c r="VLY492" s="106"/>
      <c r="VLZ492" s="106"/>
      <c r="VMA492" s="106"/>
      <c r="VMB492" s="106"/>
      <c r="VMC492" s="106"/>
      <c r="VMD492" s="106"/>
      <c r="VME492" s="106"/>
      <c r="VMF492" s="106"/>
      <c r="VMG492" s="106"/>
      <c r="VMH492" s="106"/>
      <c r="VMI492" s="106"/>
      <c r="VMJ492" s="106"/>
      <c r="VMK492" s="106"/>
      <c r="VML492" s="106"/>
      <c r="VMM492" s="106"/>
      <c r="VMN492" s="106"/>
      <c r="VMO492" s="106"/>
      <c r="VMP492" s="106"/>
      <c r="VMQ492" s="106"/>
      <c r="VMR492" s="106"/>
      <c r="VMS492" s="106"/>
      <c r="VMT492" s="106"/>
      <c r="VMU492" s="106"/>
      <c r="VMV492" s="106"/>
      <c r="VMW492" s="106"/>
      <c r="VMX492" s="106"/>
      <c r="VMY492" s="106"/>
      <c r="VMZ492" s="106"/>
      <c r="VNA492" s="106"/>
      <c r="VNB492" s="106"/>
      <c r="VNC492" s="106"/>
      <c r="VND492" s="106"/>
      <c r="VNE492" s="106"/>
      <c r="VNF492" s="106"/>
      <c r="VNG492" s="106"/>
      <c r="VNH492" s="106"/>
      <c r="VNI492" s="106"/>
      <c r="VNJ492" s="106"/>
      <c r="VNK492" s="106"/>
      <c r="VNL492" s="106"/>
      <c r="VNM492" s="106"/>
      <c r="VNN492" s="106"/>
      <c r="VNO492" s="106"/>
      <c r="VNP492" s="106"/>
      <c r="VNQ492" s="106"/>
      <c r="VNR492" s="106"/>
      <c r="VNS492" s="106"/>
      <c r="VNT492" s="106"/>
      <c r="VNU492" s="106"/>
      <c r="VNV492" s="106"/>
      <c r="VNW492" s="106"/>
      <c r="VNX492" s="106"/>
      <c r="VNY492" s="106"/>
      <c r="VNZ492" s="106"/>
      <c r="VOA492" s="106"/>
      <c r="VOB492" s="106"/>
      <c r="VOC492" s="106"/>
      <c r="VOD492" s="106"/>
      <c r="VOE492" s="106"/>
      <c r="VOF492" s="106"/>
      <c r="VOG492" s="106"/>
      <c r="VOH492" s="106"/>
      <c r="VOI492" s="106"/>
      <c r="VOJ492" s="106"/>
      <c r="VOK492" s="106"/>
      <c r="VOL492" s="106"/>
      <c r="VOM492" s="106"/>
      <c r="VON492" s="106"/>
      <c r="VOO492" s="106"/>
      <c r="VOP492" s="106"/>
      <c r="VOQ492" s="106"/>
      <c r="VOR492" s="106"/>
      <c r="VOS492" s="106"/>
      <c r="VOT492" s="106"/>
      <c r="VOU492" s="106"/>
      <c r="VOV492" s="106"/>
      <c r="VOW492" s="106"/>
      <c r="VOX492" s="106"/>
      <c r="VOY492" s="106"/>
      <c r="VOZ492" s="106"/>
      <c r="VPA492" s="106"/>
      <c r="VPB492" s="106"/>
      <c r="VPC492" s="106"/>
      <c r="VPD492" s="106"/>
      <c r="VPE492" s="106"/>
      <c r="VPF492" s="106"/>
      <c r="VPG492" s="106"/>
      <c r="VPH492" s="106"/>
      <c r="VPI492" s="106"/>
      <c r="VPJ492" s="106"/>
      <c r="VPK492" s="106"/>
      <c r="VPL492" s="106"/>
      <c r="VPM492" s="106"/>
      <c r="VPN492" s="106"/>
      <c r="VPO492" s="106"/>
      <c r="VPP492" s="106"/>
      <c r="VPQ492" s="106"/>
      <c r="VPR492" s="106"/>
      <c r="VPS492" s="106"/>
      <c r="VPT492" s="106"/>
      <c r="VPU492" s="106"/>
      <c r="VPV492" s="106"/>
      <c r="VPW492" s="106"/>
      <c r="VPX492" s="106"/>
      <c r="VPY492" s="106"/>
      <c r="VPZ492" s="106"/>
      <c r="VQA492" s="106"/>
      <c r="VQB492" s="106"/>
      <c r="VQC492" s="106"/>
      <c r="VQD492" s="106"/>
      <c r="VQE492" s="106"/>
      <c r="VQF492" s="106"/>
      <c r="VQG492" s="106"/>
      <c r="VQH492" s="106"/>
      <c r="VQI492" s="106"/>
      <c r="VQJ492" s="106"/>
      <c r="VQK492" s="106"/>
      <c r="VQL492" s="106"/>
      <c r="VQM492" s="106"/>
      <c r="VQN492" s="106"/>
      <c r="VQO492" s="106"/>
      <c r="VQP492" s="106"/>
      <c r="VQQ492" s="106"/>
      <c r="VQR492" s="106"/>
      <c r="VQS492" s="106"/>
      <c r="VQT492" s="106"/>
      <c r="VQU492" s="106"/>
      <c r="VQV492" s="106"/>
      <c r="VQW492" s="106"/>
      <c r="VQX492" s="106"/>
      <c r="VQY492" s="106"/>
      <c r="VQZ492" s="106"/>
      <c r="VRA492" s="106"/>
      <c r="VRB492" s="106"/>
      <c r="VRC492" s="106"/>
      <c r="VRD492" s="106"/>
      <c r="VRE492" s="106"/>
      <c r="VRF492" s="106"/>
      <c r="VRG492" s="106"/>
      <c r="VRH492" s="106"/>
      <c r="VRI492" s="106"/>
      <c r="VRJ492" s="106"/>
      <c r="VRK492" s="106"/>
      <c r="VRL492" s="106"/>
      <c r="VRM492" s="106"/>
      <c r="VRN492" s="106"/>
      <c r="VRO492" s="106"/>
      <c r="VRP492" s="106"/>
      <c r="VRQ492" s="106"/>
      <c r="VRR492" s="106"/>
      <c r="VRS492" s="106"/>
      <c r="VRT492" s="106"/>
      <c r="VRU492" s="106"/>
      <c r="VRV492" s="106"/>
      <c r="VRW492" s="106"/>
      <c r="VRX492" s="106"/>
      <c r="VRY492" s="106"/>
      <c r="VRZ492" s="106"/>
      <c r="VSA492" s="106"/>
      <c r="VSB492" s="106"/>
      <c r="VSC492" s="106"/>
      <c r="VSD492" s="106"/>
      <c r="VSE492" s="106"/>
      <c r="VSF492" s="106"/>
      <c r="VSG492" s="106"/>
      <c r="VSH492" s="106"/>
      <c r="VSI492" s="106"/>
      <c r="VSJ492" s="106"/>
      <c r="VSK492" s="106"/>
      <c r="VSL492" s="106"/>
      <c r="VSM492" s="106"/>
      <c r="VSN492" s="106"/>
      <c r="VSO492" s="106"/>
      <c r="VSP492" s="106"/>
      <c r="VSQ492" s="106"/>
      <c r="VSR492" s="106"/>
      <c r="VSS492" s="106"/>
      <c r="VST492" s="106"/>
      <c r="VSU492" s="106"/>
      <c r="VSV492" s="106"/>
      <c r="VSW492" s="106"/>
      <c r="VSX492" s="106"/>
      <c r="VSY492" s="106"/>
      <c r="VSZ492" s="106"/>
      <c r="VTA492" s="106"/>
      <c r="VTB492" s="106"/>
      <c r="VTC492" s="106"/>
      <c r="VTD492" s="106"/>
      <c r="VTE492" s="106"/>
      <c r="VTF492" s="106"/>
      <c r="VTG492" s="106"/>
      <c r="VTH492" s="106"/>
      <c r="VTI492" s="106"/>
      <c r="VTJ492" s="106"/>
      <c r="VTK492" s="106"/>
      <c r="VTL492" s="106"/>
      <c r="VTM492" s="106"/>
      <c r="VTN492" s="106"/>
      <c r="VTO492" s="106"/>
      <c r="VTP492" s="106"/>
      <c r="VTQ492" s="106"/>
      <c r="VTR492" s="106"/>
      <c r="VTS492" s="106"/>
      <c r="VTT492" s="106"/>
      <c r="VTU492" s="106"/>
      <c r="VTV492" s="106"/>
      <c r="VTW492" s="106"/>
      <c r="VTX492" s="106"/>
      <c r="VTY492" s="106"/>
      <c r="VTZ492" s="106"/>
      <c r="VUA492" s="106"/>
      <c r="VUB492" s="106"/>
      <c r="VUC492" s="106"/>
      <c r="VUD492" s="106"/>
      <c r="VUE492" s="106"/>
      <c r="VUF492" s="106"/>
      <c r="VUG492" s="106"/>
      <c r="VUH492" s="106"/>
      <c r="VUI492" s="106"/>
      <c r="VUJ492" s="106"/>
      <c r="VUK492" s="106"/>
      <c r="VUL492" s="106"/>
      <c r="VUM492" s="106"/>
      <c r="VUN492" s="106"/>
      <c r="VUO492" s="106"/>
      <c r="VUP492" s="106"/>
      <c r="VUQ492" s="106"/>
      <c r="VUR492" s="106"/>
      <c r="VUS492" s="106"/>
      <c r="VUT492" s="106"/>
      <c r="VUU492" s="106"/>
      <c r="VUV492" s="106"/>
      <c r="VUW492" s="106"/>
      <c r="VUX492" s="106"/>
      <c r="VUY492" s="106"/>
      <c r="VUZ492" s="106"/>
      <c r="VVA492" s="106"/>
      <c r="VVB492" s="106"/>
      <c r="VVC492" s="106"/>
      <c r="VVD492" s="106"/>
      <c r="VVE492" s="106"/>
      <c r="VVF492" s="106"/>
      <c r="VVG492" s="106"/>
      <c r="VVH492" s="106"/>
      <c r="VVI492" s="106"/>
      <c r="VVJ492" s="106"/>
      <c r="VVK492" s="106"/>
      <c r="VVL492" s="106"/>
      <c r="VVM492" s="106"/>
      <c r="VVN492" s="106"/>
      <c r="VVO492" s="106"/>
      <c r="VVP492" s="106"/>
      <c r="VVQ492" s="106"/>
      <c r="VVR492" s="106"/>
      <c r="VVS492" s="106"/>
      <c r="VVT492" s="106"/>
      <c r="VVU492" s="106"/>
      <c r="VVV492" s="106"/>
      <c r="VVW492" s="106"/>
      <c r="VVX492" s="106"/>
      <c r="VVY492" s="106"/>
      <c r="VVZ492" s="106"/>
      <c r="VWA492" s="106"/>
      <c r="VWB492" s="106"/>
      <c r="VWC492" s="106"/>
      <c r="VWD492" s="106"/>
      <c r="VWE492" s="106"/>
      <c r="VWF492" s="106"/>
      <c r="VWG492" s="106"/>
      <c r="VWH492" s="106"/>
      <c r="VWI492" s="106"/>
      <c r="VWJ492" s="106"/>
      <c r="VWK492" s="106"/>
      <c r="VWL492" s="106"/>
      <c r="VWM492" s="106"/>
      <c r="VWN492" s="106"/>
      <c r="VWO492" s="106"/>
      <c r="VWP492" s="106"/>
      <c r="VWQ492" s="106"/>
      <c r="VWR492" s="106"/>
      <c r="VWS492" s="106"/>
      <c r="VWT492" s="106"/>
      <c r="VWU492" s="106"/>
      <c r="VWV492" s="106"/>
      <c r="VWW492" s="106"/>
      <c r="VWX492" s="106"/>
      <c r="VWY492" s="106"/>
      <c r="VWZ492" s="106"/>
      <c r="VXA492" s="106"/>
      <c r="VXB492" s="106"/>
      <c r="VXC492" s="106"/>
      <c r="VXD492" s="106"/>
      <c r="VXE492" s="106"/>
      <c r="VXF492" s="106"/>
      <c r="VXG492" s="106"/>
      <c r="VXH492" s="106"/>
      <c r="VXI492" s="106"/>
      <c r="VXJ492" s="106"/>
      <c r="VXK492" s="106"/>
      <c r="VXL492" s="106"/>
      <c r="VXM492" s="106"/>
      <c r="VXN492" s="106"/>
      <c r="VXO492" s="106"/>
      <c r="VXP492" s="106"/>
      <c r="VXQ492" s="106"/>
      <c r="VXR492" s="106"/>
      <c r="VXS492" s="106"/>
      <c r="VXT492" s="106"/>
      <c r="VXU492" s="106"/>
      <c r="VXV492" s="106"/>
      <c r="VXW492" s="106"/>
      <c r="VXX492" s="106"/>
      <c r="VXY492" s="106"/>
      <c r="VXZ492" s="106"/>
      <c r="VYA492" s="106"/>
      <c r="VYB492" s="106"/>
      <c r="VYC492" s="106"/>
      <c r="VYD492" s="106"/>
      <c r="VYE492" s="106"/>
      <c r="VYF492" s="106"/>
      <c r="VYG492" s="106"/>
      <c r="VYH492" s="106"/>
      <c r="VYI492" s="106"/>
      <c r="VYJ492" s="106"/>
      <c r="VYK492" s="106"/>
      <c r="VYL492" s="106"/>
      <c r="VYM492" s="106"/>
      <c r="VYN492" s="106"/>
      <c r="VYO492" s="106"/>
      <c r="VYP492" s="106"/>
      <c r="VYQ492" s="106"/>
      <c r="VYR492" s="106"/>
      <c r="VYS492" s="106"/>
      <c r="VYT492" s="106"/>
      <c r="VYU492" s="106"/>
      <c r="VYV492" s="106"/>
      <c r="VYW492" s="106"/>
      <c r="VYX492" s="106"/>
      <c r="VYY492" s="106"/>
      <c r="VYZ492" s="106"/>
      <c r="VZA492" s="106"/>
      <c r="VZB492" s="106"/>
      <c r="VZC492" s="106"/>
      <c r="VZD492" s="106"/>
      <c r="VZE492" s="106"/>
      <c r="VZF492" s="106"/>
      <c r="VZG492" s="106"/>
      <c r="VZH492" s="106"/>
      <c r="VZI492" s="106"/>
      <c r="VZJ492" s="106"/>
      <c r="VZK492" s="106"/>
      <c r="VZL492" s="106"/>
      <c r="VZM492" s="106"/>
      <c r="VZN492" s="106"/>
      <c r="VZO492" s="106"/>
      <c r="VZP492" s="106"/>
      <c r="VZQ492" s="106"/>
      <c r="VZR492" s="106"/>
      <c r="VZS492" s="106"/>
      <c r="VZT492" s="106"/>
      <c r="VZU492" s="106"/>
      <c r="VZV492" s="106"/>
      <c r="VZW492" s="106"/>
      <c r="VZX492" s="106"/>
      <c r="VZY492" s="106"/>
      <c r="VZZ492" s="106"/>
      <c r="WAA492" s="106"/>
      <c r="WAB492" s="106"/>
      <c r="WAC492" s="106"/>
      <c r="WAD492" s="106"/>
      <c r="WAE492" s="106"/>
      <c r="WAF492" s="106"/>
      <c r="WAG492" s="106"/>
      <c r="WAH492" s="106"/>
      <c r="WAI492" s="106"/>
      <c r="WAJ492" s="106"/>
      <c r="WAK492" s="106"/>
      <c r="WAL492" s="106"/>
      <c r="WAM492" s="106"/>
      <c r="WAN492" s="106"/>
      <c r="WAO492" s="106"/>
      <c r="WAP492" s="106"/>
      <c r="WAQ492" s="106"/>
      <c r="WAR492" s="106"/>
      <c r="WAS492" s="106"/>
      <c r="WAT492" s="106"/>
      <c r="WAU492" s="106"/>
      <c r="WAV492" s="106"/>
      <c r="WAW492" s="106"/>
      <c r="WAX492" s="106"/>
      <c r="WAY492" s="106"/>
      <c r="WAZ492" s="106"/>
      <c r="WBA492" s="106"/>
      <c r="WBB492" s="106"/>
      <c r="WBC492" s="106"/>
      <c r="WBD492" s="106"/>
      <c r="WBE492" s="106"/>
      <c r="WBF492" s="106"/>
      <c r="WBG492" s="106"/>
      <c r="WBH492" s="106"/>
      <c r="WBI492" s="106"/>
      <c r="WBJ492" s="106"/>
      <c r="WBK492" s="106"/>
      <c r="WBL492" s="106"/>
      <c r="WBM492" s="106"/>
      <c r="WBN492" s="106"/>
      <c r="WBO492" s="106"/>
      <c r="WBP492" s="106"/>
      <c r="WBQ492" s="106"/>
      <c r="WBR492" s="106"/>
      <c r="WBS492" s="106"/>
      <c r="WBT492" s="106"/>
      <c r="WBU492" s="106"/>
      <c r="WBV492" s="106"/>
      <c r="WBW492" s="106"/>
      <c r="WBX492" s="106"/>
      <c r="WBY492" s="106"/>
      <c r="WBZ492" s="106"/>
      <c r="WCA492" s="106"/>
      <c r="WCB492" s="106"/>
      <c r="WCC492" s="106"/>
      <c r="WCD492" s="106"/>
      <c r="WCE492" s="106"/>
      <c r="WCF492" s="106"/>
      <c r="WCG492" s="106"/>
      <c r="WCH492" s="106"/>
      <c r="WCI492" s="106"/>
      <c r="WCJ492" s="106"/>
      <c r="WCK492" s="106"/>
      <c r="WCL492" s="106"/>
      <c r="WCM492" s="106"/>
      <c r="WCN492" s="106"/>
      <c r="WCO492" s="106"/>
      <c r="WCP492" s="106"/>
      <c r="WCQ492" s="106"/>
      <c r="WCR492" s="106"/>
      <c r="WCS492" s="106"/>
      <c r="WCT492" s="106"/>
      <c r="WCU492" s="106"/>
      <c r="WCV492" s="106"/>
      <c r="WCW492" s="106"/>
      <c r="WCX492" s="106"/>
      <c r="WCY492" s="106"/>
      <c r="WCZ492" s="106"/>
      <c r="WDA492" s="106"/>
      <c r="WDB492" s="106"/>
      <c r="WDC492" s="106"/>
      <c r="WDD492" s="106"/>
      <c r="WDE492" s="106"/>
      <c r="WDF492" s="106"/>
      <c r="WDG492" s="106"/>
      <c r="WDH492" s="106"/>
      <c r="WDI492" s="106"/>
      <c r="WDJ492" s="106"/>
      <c r="WDK492" s="106"/>
      <c r="WDL492" s="106"/>
      <c r="WDM492" s="106"/>
      <c r="WDN492" s="106"/>
      <c r="WDO492" s="106"/>
      <c r="WDP492" s="106"/>
      <c r="WDQ492" s="106"/>
      <c r="WDR492" s="106"/>
      <c r="WDS492" s="106"/>
      <c r="WDT492" s="106"/>
      <c r="WDU492" s="106"/>
      <c r="WDV492" s="106"/>
      <c r="WDW492" s="106"/>
      <c r="WDX492" s="106"/>
      <c r="WDY492" s="106"/>
      <c r="WDZ492" s="106"/>
      <c r="WEA492" s="106"/>
      <c r="WEB492" s="106"/>
      <c r="WEC492" s="106"/>
      <c r="WED492" s="106"/>
      <c r="WEE492" s="106"/>
      <c r="WEF492" s="106"/>
      <c r="WEG492" s="106"/>
      <c r="WEH492" s="106"/>
      <c r="WEI492" s="106"/>
      <c r="WEJ492" s="106"/>
      <c r="WEK492" s="106"/>
      <c r="WEL492" s="106"/>
      <c r="WEM492" s="106"/>
      <c r="WEN492" s="106"/>
      <c r="WEO492" s="106"/>
      <c r="WEP492" s="106"/>
      <c r="WEQ492" s="106"/>
      <c r="WER492" s="106"/>
      <c r="WES492" s="106"/>
      <c r="WET492" s="106"/>
      <c r="WEU492" s="106"/>
      <c r="WEV492" s="106"/>
      <c r="WEW492" s="106"/>
      <c r="WEX492" s="106"/>
      <c r="WEY492" s="106"/>
      <c r="WEZ492" s="106"/>
      <c r="WFA492" s="106"/>
      <c r="WFB492" s="106"/>
      <c r="WFC492" s="106"/>
      <c r="WFD492" s="106"/>
      <c r="WFE492" s="106"/>
      <c r="WFF492" s="106"/>
      <c r="WFG492" s="106"/>
      <c r="WFH492" s="106"/>
      <c r="WFI492" s="106"/>
      <c r="WFJ492" s="106"/>
      <c r="WFK492" s="106"/>
      <c r="WFL492" s="106"/>
      <c r="WFM492" s="106"/>
      <c r="WFN492" s="106"/>
      <c r="WFO492" s="106"/>
      <c r="WFP492" s="106"/>
      <c r="WFQ492" s="106"/>
      <c r="WFR492" s="106"/>
      <c r="WFS492" s="106"/>
      <c r="WFT492" s="106"/>
      <c r="WFU492" s="106"/>
      <c r="WFV492" s="106"/>
      <c r="WFW492" s="106"/>
      <c r="WFX492" s="106"/>
      <c r="WFY492" s="106"/>
      <c r="WFZ492" s="106"/>
      <c r="WGA492" s="106"/>
      <c r="WGB492" s="106"/>
      <c r="WGC492" s="106"/>
      <c r="WGD492" s="106"/>
      <c r="WGE492" s="106"/>
      <c r="WGF492" s="106"/>
      <c r="WGG492" s="106"/>
      <c r="WGH492" s="106"/>
      <c r="WGI492" s="106"/>
      <c r="WGJ492" s="106"/>
      <c r="WGK492" s="106"/>
      <c r="WGL492" s="106"/>
      <c r="WGM492" s="106"/>
      <c r="WGN492" s="106"/>
      <c r="WGO492" s="106"/>
      <c r="WGP492" s="106"/>
      <c r="WGQ492" s="106"/>
      <c r="WGR492" s="106"/>
      <c r="WGS492" s="106"/>
      <c r="WGT492" s="106"/>
      <c r="WGU492" s="106"/>
      <c r="WGV492" s="106"/>
      <c r="WGW492" s="106"/>
      <c r="WGX492" s="106"/>
      <c r="WGY492" s="106"/>
      <c r="WGZ492" s="106"/>
      <c r="WHA492" s="106"/>
      <c r="WHB492" s="106"/>
      <c r="WHC492" s="106"/>
      <c r="WHD492" s="106"/>
      <c r="WHE492" s="106"/>
      <c r="WHF492" s="106"/>
      <c r="WHG492" s="106"/>
      <c r="WHH492" s="106"/>
      <c r="WHI492" s="106"/>
      <c r="WHJ492" s="106"/>
      <c r="WHK492" s="106"/>
      <c r="WHL492" s="106"/>
      <c r="WHM492" s="106"/>
      <c r="WHN492" s="106"/>
      <c r="WHO492" s="106"/>
      <c r="WHP492" s="106"/>
      <c r="WHQ492" s="106"/>
      <c r="WHR492" s="106"/>
      <c r="WHS492" s="106"/>
      <c r="WHT492" s="106"/>
      <c r="WHU492" s="106"/>
      <c r="WHV492" s="106"/>
      <c r="WHW492" s="106"/>
      <c r="WHX492" s="106"/>
      <c r="WHY492" s="106"/>
      <c r="WHZ492" s="106"/>
      <c r="WIA492" s="106"/>
      <c r="WIB492" s="106"/>
      <c r="WIC492" s="106"/>
      <c r="WID492" s="106"/>
      <c r="WIE492" s="106"/>
      <c r="WIF492" s="106"/>
      <c r="WIG492" s="106"/>
      <c r="WIH492" s="106"/>
      <c r="WII492" s="106"/>
      <c r="WIJ492" s="106"/>
      <c r="WIK492" s="106"/>
      <c r="WIL492" s="106"/>
      <c r="WIM492" s="106"/>
      <c r="WIN492" s="106"/>
      <c r="WIO492" s="106"/>
      <c r="WIP492" s="106"/>
      <c r="WIQ492" s="106"/>
      <c r="WIR492" s="106"/>
      <c r="WIS492" s="106"/>
      <c r="WIT492" s="106"/>
      <c r="WIU492" s="106"/>
      <c r="WIV492" s="106"/>
      <c r="WIW492" s="106"/>
      <c r="WIX492" s="106"/>
      <c r="WIY492" s="106"/>
      <c r="WIZ492" s="106"/>
      <c r="WJA492" s="106"/>
      <c r="WJB492" s="106"/>
      <c r="WJC492" s="106"/>
      <c r="WJD492" s="106"/>
      <c r="WJE492" s="106"/>
      <c r="WJF492" s="106"/>
      <c r="WJG492" s="106"/>
      <c r="WJH492" s="106"/>
      <c r="WJI492" s="106"/>
      <c r="WJJ492" s="106"/>
      <c r="WJK492" s="106"/>
      <c r="WJL492" s="106"/>
      <c r="WJM492" s="106"/>
      <c r="WJN492" s="106"/>
      <c r="WJO492" s="106"/>
      <c r="WJP492" s="106"/>
      <c r="WJQ492" s="106"/>
      <c r="WJR492" s="106"/>
      <c r="WJS492" s="106"/>
      <c r="WJT492" s="106"/>
      <c r="WJU492" s="106"/>
      <c r="WJV492" s="106"/>
      <c r="WJW492" s="106"/>
      <c r="WJX492" s="106"/>
      <c r="WJY492" s="106"/>
      <c r="WJZ492" s="106"/>
      <c r="WKA492" s="106"/>
      <c r="WKB492" s="106"/>
      <c r="WKC492" s="106"/>
      <c r="WKD492" s="106"/>
      <c r="WKE492" s="106"/>
      <c r="WKF492" s="106"/>
      <c r="WKG492" s="106"/>
      <c r="WKH492" s="106"/>
      <c r="WKI492" s="106"/>
      <c r="WKJ492" s="106"/>
      <c r="WKK492" s="106"/>
      <c r="WKL492" s="106"/>
      <c r="WKM492" s="106"/>
      <c r="WKN492" s="106"/>
      <c r="WKO492" s="106"/>
      <c r="WKP492" s="106"/>
      <c r="WKQ492" s="106"/>
      <c r="WKR492" s="106"/>
      <c r="WKS492" s="106"/>
      <c r="WKT492" s="106"/>
      <c r="WKU492" s="106"/>
      <c r="WKV492" s="106"/>
      <c r="WKW492" s="106"/>
      <c r="WKX492" s="106"/>
      <c r="WKY492" s="106"/>
      <c r="WKZ492" s="106"/>
      <c r="WLA492" s="106"/>
      <c r="WLB492" s="106"/>
      <c r="WLC492" s="106"/>
      <c r="WLD492" s="106"/>
      <c r="WLE492" s="106"/>
      <c r="WLF492" s="106"/>
      <c r="WLG492" s="106"/>
      <c r="WLH492" s="106"/>
      <c r="WLI492" s="106"/>
      <c r="WLJ492" s="106"/>
      <c r="WLK492" s="106"/>
      <c r="WLL492" s="106"/>
      <c r="WLM492" s="106"/>
      <c r="WLN492" s="106"/>
      <c r="WLO492" s="106"/>
      <c r="WLP492" s="106"/>
      <c r="WLQ492" s="106"/>
      <c r="WLR492" s="106"/>
      <c r="WLS492" s="106"/>
      <c r="WLT492" s="106"/>
      <c r="WLU492" s="106"/>
      <c r="WLV492" s="106"/>
      <c r="WLW492" s="106"/>
      <c r="WLX492" s="106"/>
      <c r="WLY492" s="106"/>
      <c r="WLZ492" s="106"/>
      <c r="WMA492" s="106"/>
      <c r="WMB492" s="106"/>
      <c r="WMC492" s="106"/>
      <c r="WMD492" s="106"/>
      <c r="WME492" s="106"/>
      <c r="WMF492" s="106"/>
      <c r="WMG492" s="106"/>
      <c r="WMH492" s="106"/>
      <c r="WMI492" s="106"/>
      <c r="WMJ492" s="106"/>
      <c r="WMK492" s="106"/>
      <c r="WML492" s="106"/>
      <c r="WMM492" s="106"/>
      <c r="WMN492" s="106"/>
      <c r="WMO492" s="106"/>
      <c r="WMP492" s="106"/>
      <c r="WMQ492" s="106"/>
      <c r="WMR492" s="106"/>
      <c r="WMS492" s="106"/>
      <c r="WMT492" s="106"/>
      <c r="WMU492" s="106"/>
      <c r="WMV492" s="106"/>
      <c r="WMW492" s="106"/>
      <c r="WMX492" s="106"/>
      <c r="WMY492" s="106"/>
      <c r="WMZ492" s="106"/>
      <c r="WNA492" s="106"/>
      <c r="WNB492" s="106"/>
      <c r="WNC492" s="106"/>
      <c r="WND492" s="106"/>
      <c r="WNE492" s="106"/>
      <c r="WNF492" s="106"/>
      <c r="WNG492" s="106"/>
      <c r="WNH492" s="106"/>
      <c r="WNI492" s="106"/>
      <c r="WNJ492" s="106"/>
      <c r="WNK492" s="106"/>
      <c r="WNL492" s="106"/>
      <c r="WNM492" s="106"/>
      <c r="WNN492" s="106"/>
      <c r="WNO492" s="106"/>
      <c r="WNP492" s="106"/>
      <c r="WNQ492" s="106"/>
      <c r="WNR492" s="106"/>
      <c r="WNS492" s="106"/>
      <c r="WNT492" s="106"/>
      <c r="WNU492" s="106"/>
      <c r="WNV492" s="106"/>
      <c r="WNW492" s="106"/>
      <c r="WNX492" s="106"/>
      <c r="WNY492" s="106"/>
      <c r="WNZ492" s="106"/>
      <c r="WOA492" s="106"/>
      <c r="WOB492" s="106"/>
      <c r="WOC492" s="106"/>
      <c r="WOD492" s="106"/>
      <c r="WOE492" s="106"/>
      <c r="WOF492" s="106"/>
      <c r="WOG492" s="106"/>
      <c r="WOH492" s="106"/>
      <c r="WOI492" s="106"/>
      <c r="WOJ492" s="106"/>
      <c r="WOK492" s="106"/>
      <c r="WOL492" s="106"/>
      <c r="WOM492" s="106"/>
      <c r="WON492" s="106"/>
      <c r="WOO492" s="106"/>
      <c r="WOP492" s="106"/>
      <c r="WOQ492" s="106"/>
      <c r="WOR492" s="106"/>
      <c r="WOS492" s="106"/>
      <c r="WOT492" s="106"/>
      <c r="WOU492" s="106"/>
      <c r="WOV492" s="106"/>
      <c r="WOW492" s="106"/>
      <c r="WOX492" s="106"/>
      <c r="WOY492" s="106"/>
      <c r="WOZ492" s="106"/>
      <c r="WPA492" s="106"/>
      <c r="WPB492" s="106"/>
      <c r="WPC492" s="106"/>
      <c r="WPD492" s="106"/>
      <c r="WPE492" s="106"/>
      <c r="WPF492" s="106"/>
      <c r="WPG492" s="106"/>
      <c r="WPH492" s="106"/>
      <c r="WPI492" s="106"/>
      <c r="WPJ492" s="106"/>
      <c r="WPK492" s="106"/>
      <c r="WPL492" s="106"/>
      <c r="WPM492" s="106"/>
      <c r="WPN492" s="106"/>
      <c r="WPO492" s="106"/>
      <c r="WPP492" s="106"/>
      <c r="WPQ492" s="106"/>
      <c r="WPR492" s="106"/>
      <c r="WPS492" s="106"/>
      <c r="WPT492" s="106"/>
      <c r="WPU492" s="106"/>
      <c r="WPV492" s="106"/>
      <c r="WPW492" s="106"/>
      <c r="WPX492" s="106"/>
      <c r="WPY492" s="106"/>
      <c r="WPZ492" s="106"/>
      <c r="WQA492" s="106"/>
      <c r="WQB492" s="106"/>
      <c r="WQC492" s="106"/>
      <c r="WQD492" s="106"/>
      <c r="WQE492" s="106"/>
      <c r="WQF492" s="106"/>
      <c r="WQG492" s="106"/>
      <c r="WQH492" s="106"/>
      <c r="WQI492" s="106"/>
      <c r="WQJ492" s="106"/>
      <c r="WQK492" s="106"/>
      <c r="WQL492" s="106"/>
      <c r="WQM492" s="106"/>
      <c r="WQN492" s="106"/>
      <c r="WQO492" s="106"/>
      <c r="WQP492" s="106"/>
      <c r="WQQ492" s="106"/>
      <c r="WQR492" s="106"/>
      <c r="WQS492" s="106"/>
      <c r="WQT492" s="106"/>
      <c r="WQU492" s="106"/>
      <c r="WQV492" s="106"/>
      <c r="WQW492" s="106"/>
      <c r="WQX492" s="106"/>
      <c r="WQY492" s="106"/>
      <c r="WQZ492" s="106"/>
      <c r="WRA492" s="106"/>
      <c r="WRB492" s="106"/>
      <c r="WRC492" s="106"/>
      <c r="WRD492" s="106"/>
      <c r="WRE492" s="106"/>
      <c r="WRF492" s="106"/>
      <c r="WRG492" s="106"/>
      <c r="WRH492" s="106"/>
      <c r="WRI492" s="106"/>
      <c r="WRJ492" s="106"/>
      <c r="WRK492" s="106"/>
      <c r="WRL492" s="106"/>
      <c r="WRM492" s="106"/>
      <c r="WRN492" s="106"/>
      <c r="WRO492" s="106"/>
      <c r="WRP492" s="106"/>
      <c r="WRQ492" s="106"/>
      <c r="WRR492" s="106"/>
      <c r="WRS492" s="106"/>
      <c r="WRT492" s="106"/>
      <c r="WRU492" s="106"/>
      <c r="WRV492" s="106"/>
      <c r="WRW492" s="106"/>
      <c r="WRX492" s="106"/>
      <c r="WRY492" s="106"/>
      <c r="WRZ492" s="106"/>
      <c r="WSA492" s="106"/>
      <c r="WSB492" s="106"/>
      <c r="WSC492" s="106"/>
      <c r="WSD492" s="106"/>
      <c r="WSE492" s="106"/>
      <c r="WSF492" s="106"/>
      <c r="WSG492" s="106"/>
      <c r="WSH492" s="106"/>
      <c r="WSI492" s="106"/>
      <c r="WSJ492" s="106"/>
      <c r="WSK492" s="106"/>
      <c r="WSL492" s="106"/>
      <c r="WSM492" s="106"/>
      <c r="WSN492" s="106"/>
      <c r="WSO492" s="106"/>
      <c r="WSP492" s="106"/>
      <c r="WSQ492" s="106"/>
      <c r="WSR492" s="106"/>
      <c r="WSS492" s="106"/>
      <c r="WST492" s="106"/>
      <c r="WSU492" s="106"/>
      <c r="WSV492" s="106"/>
      <c r="WSW492" s="106"/>
      <c r="WSX492" s="106"/>
      <c r="WSY492" s="106"/>
      <c r="WSZ492" s="106"/>
      <c r="WTA492" s="106"/>
      <c r="WTB492" s="106"/>
      <c r="WTC492" s="106"/>
      <c r="WTD492" s="106"/>
      <c r="WTE492" s="106"/>
      <c r="WTF492" s="106"/>
      <c r="WTG492" s="106"/>
      <c r="WTH492" s="106"/>
      <c r="WTI492" s="106"/>
      <c r="WTJ492" s="106"/>
      <c r="WTK492" s="106"/>
      <c r="WTL492" s="106"/>
      <c r="WTM492" s="106"/>
      <c r="WTN492" s="106"/>
      <c r="WTO492" s="106"/>
      <c r="WTP492" s="106"/>
      <c r="WTQ492" s="106"/>
      <c r="WTR492" s="106"/>
      <c r="WTS492" s="106"/>
      <c r="WTT492" s="106"/>
      <c r="WTU492" s="106"/>
      <c r="WTV492" s="106"/>
      <c r="WTW492" s="106"/>
      <c r="WTX492" s="106"/>
      <c r="WTY492" s="106"/>
      <c r="WTZ492" s="106"/>
      <c r="WUA492" s="106"/>
      <c r="WUB492" s="106"/>
      <c r="WUC492" s="106"/>
      <c r="WUD492" s="106"/>
      <c r="WUE492" s="106"/>
      <c r="WUF492" s="106"/>
      <c r="WUG492" s="106"/>
      <c r="WUH492" s="106"/>
      <c r="WUI492" s="106"/>
      <c r="WUJ492" s="106"/>
      <c r="WUK492" s="106"/>
      <c r="WUL492" s="106"/>
      <c r="WUM492" s="106"/>
      <c r="WUN492" s="106"/>
      <c r="WUO492" s="106"/>
      <c r="WUP492" s="106"/>
      <c r="WUQ492" s="106"/>
      <c r="WUR492" s="106"/>
      <c r="WUS492" s="106"/>
      <c r="WUT492" s="106"/>
      <c r="WUU492" s="106"/>
      <c r="WUV492" s="106"/>
      <c r="WUW492" s="106"/>
      <c r="WUX492" s="106"/>
      <c r="WUY492" s="106"/>
      <c r="WUZ492" s="106"/>
      <c r="WVA492" s="106"/>
      <c r="WVB492" s="106"/>
      <c r="WVC492" s="106"/>
      <c r="WVD492" s="106"/>
      <c r="WVE492" s="106"/>
      <c r="WVF492" s="106"/>
      <c r="WVG492" s="106"/>
      <c r="WVH492" s="106"/>
      <c r="WVI492" s="106"/>
      <c r="WVJ492" s="106"/>
      <c r="WVK492" s="106"/>
      <c r="WVL492" s="106"/>
      <c r="WVM492" s="106"/>
      <c r="WVN492" s="106"/>
      <c r="WVO492" s="106"/>
      <c r="WVP492" s="106"/>
      <c r="WVQ492" s="106"/>
      <c r="WVR492" s="106"/>
      <c r="WVS492" s="106"/>
      <c r="WVT492" s="106"/>
      <c r="WVU492" s="106"/>
      <c r="WVV492" s="106"/>
      <c r="WVW492" s="106"/>
      <c r="WVX492" s="106"/>
      <c r="WVY492" s="106"/>
      <c r="WVZ492" s="106"/>
      <c r="WWA492" s="106"/>
      <c r="WWB492" s="106"/>
      <c r="WWC492" s="106"/>
      <c r="WWD492" s="106"/>
      <c r="WWE492" s="106"/>
      <c r="WWF492" s="106"/>
      <c r="WWG492" s="106"/>
      <c r="WWH492" s="106"/>
      <c r="WWI492" s="106"/>
      <c r="WWJ492" s="106"/>
      <c r="WWK492" s="106"/>
      <c r="WWL492" s="106"/>
      <c r="WWM492" s="106"/>
      <c r="WWN492" s="106"/>
      <c r="WWO492" s="106"/>
      <c r="WWP492" s="106"/>
      <c r="WWQ492" s="106"/>
      <c r="WWR492" s="106"/>
      <c r="WWS492" s="106"/>
      <c r="WWT492" s="106"/>
      <c r="WWU492" s="106"/>
      <c r="WWV492" s="106"/>
      <c r="WWW492" s="106"/>
      <c r="WWX492" s="106"/>
      <c r="WWY492" s="106"/>
      <c r="WWZ492" s="106"/>
      <c r="WXA492" s="106"/>
      <c r="WXB492" s="106"/>
      <c r="WXC492" s="106"/>
      <c r="WXD492" s="106"/>
      <c r="WXE492" s="106"/>
      <c r="WXF492" s="106"/>
      <c r="WXG492" s="106"/>
      <c r="WXH492" s="106"/>
      <c r="WXI492" s="106"/>
      <c r="WXJ492" s="106"/>
      <c r="WXK492" s="106"/>
      <c r="WXL492" s="106"/>
      <c r="WXM492" s="106"/>
      <c r="WXN492" s="106"/>
      <c r="WXO492" s="106"/>
      <c r="WXP492" s="106"/>
      <c r="WXQ492" s="106"/>
      <c r="WXR492" s="106"/>
      <c r="WXS492" s="106"/>
      <c r="WXT492" s="106"/>
      <c r="WXU492" s="106"/>
      <c r="WXV492" s="106"/>
      <c r="WXW492" s="106"/>
      <c r="WXX492" s="106"/>
      <c r="WXY492" s="106"/>
      <c r="WXZ492" s="106"/>
      <c r="WYA492" s="106"/>
      <c r="WYB492" s="106"/>
      <c r="WYC492" s="106"/>
      <c r="WYD492" s="106"/>
      <c r="WYE492" s="106"/>
      <c r="WYF492" s="106"/>
      <c r="WYG492" s="106"/>
      <c r="WYH492" s="106"/>
      <c r="WYI492" s="106"/>
      <c r="WYJ492" s="106"/>
      <c r="WYK492" s="106"/>
      <c r="WYL492" s="106"/>
      <c r="WYM492" s="106"/>
      <c r="WYN492" s="106"/>
      <c r="WYO492" s="106"/>
      <c r="WYP492" s="106"/>
      <c r="WYQ492" s="106"/>
      <c r="WYR492" s="106"/>
      <c r="WYS492" s="106"/>
      <c r="WYT492" s="106"/>
      <c r="WYU492" s="106"/>
      <c r="WYV492" s="106"/>
      <c r="WYW492" s="106"/>
      <c r="WYX492" s="106"/>
      <c r="WYY492" s="106"/>
      <c r="WYZ492" s="106"/>
      <c r="WZA492" s="106"/>
      <c r="WZB492" s="106"/>
      <c r="WZC492" s="106"/>
      <c r="WZD492" s="106"/>
      <c r="WZE492" s="106"/>
      <c r="WZF492" s="106"/>
      <c r="WZG492" s="106"/>
      <c r="WZH492" s="106"/>
      <c r="WZI492" s="106"/>
      <c r="WZJ492" s="106"/>
      <c r="WZK492" s="106"/>
      <c r="WZL492" s="106"/>
      <c r="WZM492" s="106"/>
      <c r="WZN492" s="106"/>
      <c r="WZO492" s="106"/>
      <c r="WZP492" s="106"/>
      <c r="WZQ492" s="106"/>
      <c r="WZR492" s="106"/>
      <c r="WZS492" s="106"/>
      <c r="WZT492" s="106"/>
      <c r="WZU492" s="106"/>
      <c r="WZV492" s="106"/>
      <c r="WZW492" s="106"/>
      <c r="WZX492" s="106"/>
      <c r="WZY492" s="106"/>
      <c r="WZZ492" s="106"/>
      <c r="XAA492" s="106"/>
      <c r="XAB492" s="106"/>
      <c r="XAC492" s="106"/>
      <c r="XAD492" s="106"/>
      <c r="XAE492" s="106"/>
      <c r="XAF492" s="106"/>
      <c r="XAG492" s="106"/>
      <c r="XAH492" s="106"/>
      <c r="XAI492" s="106"/>
      <c r="XAJ492" s="106"/>
      <c r="XAK492" s="106"/>
      <c r="XAL492" s="106"/>
      <c r="XAM492" s="106"/>
      <c r="XAN492" s="106"/>
      <c r="XAO492" s="106"/>
      <c r="XAP492" s="106"/>
      <c r="XAQ492" s="106"/>
      <c r="XAR492" s="106"/>
      <c r="XAS492" s="106"/>
      <c r="XAT492" s="106"/>
      <c r="XAU492" s="106"/>
      <c r="XAV492" s="106"/>
      <c r="XAW492" s="106"/>
      <c r="XAX492" s="106"/>
      <c r="XAY492" s="106"/>
      <c r="XAZ492" s="106"/>
      <c r="XBA492" s="106"/>
      <c r="XBB492" s="106"/>
      <c r="XBC492" s="106"/>
      <c r="XBD492" s="106"/>
      <c r="XBE492" s="106"/>
      <c r="XBF492" s="106"/>
      <c r="XBG492" s="106"/>
      <c r="XBH492" s="106"/>
      <c r="XBI492" s="106"/>
      <c r="XBJ492" s="106"/>
      <c r="XBK492" s="106"/>
      <c r="XBL492" s="106"/>
      <c r="XBM492" s="106"/>
      <c r="XBN492" s="106"/>
      <c r="XBO492" s="106"/>
      <c r="XBP492" s="106"/>
      <c r="XBQ492" s="106"/>
      <c r="XBR492" s="106"/>
      <c r="XBS492" s="106"/>
      <c r="XBT492" s="106"/>
      <c r="XBU492" s="106"/>
      <c r="XBV492" s="106"/>
      <c r="XBW492" s="106"/>
      <c r="XBX492" s="106"/>
      <c r="XBY492" s="106"/>
      <c r="XBZ492" s="106"/>
      <c r="XCA492" s="106"/>
      <c r="XCB492" s="106"/>
      <c r="XCC492" s="106"/>
      <c r="XCD492" s="106"/>
      <c r="XCE492" s="106"/>
      <c r="XCF492" s="106"/>
      <c r="XCG492" s="106"/>
      <c r="XCH492" s="106"/>
      <c r="XCI492" s="106"/>
      <c r="XCJ492" s="106"/>
      <c r="XCK492" s="106"/>
      <c r="XCL492" s="106"/>
      <c r="XCM492" s="106"/>
      <c r="XCN492" s="106"/>
      <c r="XCO492" s="106"/>
      <c r="XCP492" s="106"/>
      <c r="XCQ492" s="106"/>
      <c r="XCR492" s="106"/>
      <c r="XCS492" s="106"/>
      <c r="XCT492" s="106"/>
      <c r="XCU492" s="106"/>
      <c r="XCV492" s="106"/>
      <c r="XCW492" s="106"/>
      <c r="XCX492" s="106"/>
      <c r="XCY492" s="106"/>
      <c r="XCZ492" s="106"/>
      <c r="XDA492" s="106"/>
      <c r="XDB492" s="106"/>
      <c r="XDC492" s="106"/>
      <c r="XDD492" s="106"/>
      <c r="XDE492" s="106"/>
      <c r="XDF492" s="106"/>
      <c r="XDG492" s="106"/>
      <c r="XDH492" s="106"/>
      <c r="XDI492" s="106"/>
      <c r="XDJ492" s="106"/>
      <c r="XDK492" s="106"/>
      <c r="XDL492" s="106"/>
      <c r="XDM492" s="106"/>
      <c r="XDN492" s="106"/>
      <c r="XDO492" s="106"/>
      <c r="XDP492" s="106"/>
      <c r="XDQ492" s="106"/>
      <c r="XDR492" s="106"/>
      <c r="XDS492" s="106"/>
      <c r="XDT492" s="106"/>
      <c r="XDU492" s="106"/>
      <c r="XDV492" s="106"/>
      <c r="XDW492" s="106"/>
      <c r="XDX492" s="106"/>
      <c r="XDY492" s="106"/>
      <c r="XDZ492" s="106"/>
      <c r="XEA492" s="106"/>
      <c r="XEB492" s="106"/>
      <c r="XEC492" s="106"/>
      <c r="XED492" s="106"/>
      <c r="XEE492" s="106"/>
      <c r="XEF492" s="106"/>
      <c r="XEG492" s="106"/>
      <c r="XEH492" s="106"/>
      <c r="XEI492" s="106"/>
      <c r="XEJ492" s="106"/>
      <c r="XEK492" s="106"/>
      <c r="XEL492" s="106"/>
      <c r="XEM492" s="106"/>
      <c r="XEN492" s="106"/>
      <c r="XEO492" s="106"/>
      <c r="XEP492" s="106"/>
      <c r="XEQ492" s="106"/>
      <c r="XER492" s="106"/>
      <c r="XES492" s="106"/>
      <c r="XET492" s="106"/>
      <c r="XEU492" s="106"/>
      <c r="XEV492" s="106"/>
      <c r="XEW492" s="106"/>
      <c r="XEX492" s="106"/>
      <c r="XEY492" s="106"/>
    </row>
    <row r="493" spans="1:16379" s="109" customFormat="1" ht="20.25" customHeight="1" x14ac:dyDescent="0.3">
      <c r="A493" s="100" t="s">
        <v>377</v>
      </c>
      <c r="B493" s="68" t="s">
        <v>480</v>
      </c>
      <c r="C493" s="68" t="s">
        <v>69</v>
      </c>
      <c r="D493" s="67" t="s">
        <v>70</v>
      </c>
      <c r="E493" s="68" t="s">
        <v>69</v>
      </c>
      <c r="F493" s="102" t="s">
        <v>444</v>
      </c>
      <c r="G493" s="103">
        <v>21601</v>
      </c>
      <c r="H493" s="71" t="s">
        <v>613</v>
      </c>
      <c r="I493" s="67" t="s">
        <v>630</v>
      </c>
      <c r="J493" s="71" t="s">
        <v>631</v>
      </c>
      <c r="K493" s="72" t="s">
        <v>379</v>
      </c>
      <c r="L493" s="73" t="s">
        <v>379</v>
      </c>
      <c r="M493" s="67" t="s">
        <v>383</v>
      </c>
      <c r="N493" s="69">
        <f t="shared" si="25"/>
        <v>23</v>
      </c>
      <c r="O493" s="105">
        <v>365</v>
      </c>
      <c r="P493" s="75" t="s">
        <v>484</v>
      </c>
      <c r="Q493" s="76">
        <f t="shared" si="23"/>
        <v>8395</v>
      </c>
      <c r="R493" s="105"/>
      <c r="S493" s="105">
        <f>3*O493</f>
        <v>1095</v>
      </c>
      <c r="T493" s="105">
        <f>1*O493</f>
        <v>365</v>
      </c>
      <c r="U493" s="105">
        <f>S493</f>
        <v>1095</v>
      </c>
      <c r="V493" s="105">
        <f>T493</f>
        <v>365</v>
      </c>
      <c r="W493" s="105">
        <f>U493</f>
        <v>1095</v>
      </c>
      <c r="X493" s="105">
        <f>V493</f>
        <v>365</v>
      </c>
      <c r="Y493" s="105">
        <f t="shared" si="26"/>
        <v>1095</v>
      </c>
      <c r="Z493" s="108">
        <f t="shared" si="26"/>
        <v>365</v>
      </c>
      <c r="AA493" s="105">
        <f t="shared" si="26"/>
        <v>1095</v>
      </c>
      <c r="AB493" s="105">
        <f t="shared" si="26"/>
        <v>365</v>
      </c>
      <c r="AC493" s="105">
        <f t="shared" si="26"/>
        <v>1095</v>
      </c>
      <c r="AD493" s="106"/>
      <c r="AE493" s="106"/>
      <c r="AF493" s="106"/>
      <c r="AG493" s="106"/>
      <c r="AH493" s="106"/>
      <c r="AI493" s="106"/>
      <c r="AJ493" s="106"/>
      <c r="AK493" s="106"/>
      <c r="AL493" s="106"/>
      <c r="AM493" s="106"/>
      <c r="AN493" s="106"/>
      <c r="AO493" s="106"/>
      <c r="AP493" s="106"/>
      <c r="AQ493" s="106"/>
      <c r="AR493" s="106"/>
      <c r="AS493" s="106"/>
      <c r="AT493" s="106"/>
      <c r="AU493" s="106"/>
      <c r="AV493" s="106"/>
      <c r="AW493" s="106"/>
      <c r="AX493" s="106"/>
      <c r="AY493" s="106"/>
      <c r="AZ493" s="106"/>
      <c r="BA493" s="106"/>
      <c r="BB493" s="106"/>
      <c r="BC493" s="106"/>
      <c r="BD493" s="106"/>
      <c r="BE493" s="106"/>
      <c r="BF493" s="106"/>
      <c r="BG493" s="106"/>
      <c r="BH493" s="106"/>
      <c r="BI493" s="106"/>
      <c r="BJ493" s="106"/>
      <c r="BK493" s="106"/>
      <c r="BL493" s="106"/>
      <c r="BM493" s="106"/>
      <c r="BN493" s="106"/>
      <c r="BO493" s="106"/>
      <c r="BP493" s="106"/>
      <c r="BQ493" s="106"/>
      <c r="BR493" s="106"/>
      <c r="BS493" s="106"/>
      <c r="BT493" s="106"/>
      <c r="BU493" s="106"/>
      <c r="BV493" s="106"/>
      <c r="BW493" s="106"/>
      <c r="BX493" s="106"/>
      <c r="BY493" s="106"/>
      <c r="BZ493" s="106"/>
      <c r="CA493" s="106"/>
      <c r="CB493" s="106"/>
      <c r="CC493" s="106"/>
      <c r="CD493" s="106"/>
      <c r="CE493" s="106"/>
      <c r="CF493" s="106"/>
      <c r="CG493" s="106"/>
      <c r="CH493" s="106"/>
      <c r="CI493" s="106"/>
      <c r="CJ493" s="106"/>
      <c r="CK493" s="106"/>
      <c r="CL493" s="106"/>
      <c r="CM493" s="106"/>
      <c r="CN493" s="106"/>
      <c r="CO493" s="106"/>
      <c r="CP493" s="106"/>
      <c r="CQ493" s="106"/>
      <c r="CR493" s="106"/>
      <c r="CS493" s="106"/>
      <c r="CT493" s="106"/>
      <c r="CU493" s="106"/>
      <c r="CV493" s="106"/>
      <c r="CW493" s="106"/>
      <c r="CX493" s="106"/>
      <c r="CY493" s="106"/>
      <c r="CZ493" s="106"/>
      <c r="DA493" s="106"/>
      <c r="DB493" s="106"/>
      <c r="DC493" s="106"/>
      <c r="DD493" s="106"/>
      <c r="DE493" s="106"/>
      <c r="DF493" s="106"/>
      <c r="DG493" s="106"/>
      <c r="DH493" s="106"/>
      <c r="DI493" s="106"/>
      <c r="DJ493" s="106"/>
      <c r="DK493" s="106"/>
      <c r="DL493" s="106"/>
      <c r="DM493" s="106"/>
      <c r="DN493" s="106"/>
      <c r="DO493" s="106"/>
      <c r="DP493" s="106"/>
      <c r="DQ493" s="106"/>
      <c r="DR493" s="106"/>
      <c r="DS493" s="106"/>
      <c r="DT493" s="106"/>
      <c r="DU493" s="106"/>
      <c r="DV493" s="106"/>
      <c r="DW493" s="106"/>
      <c r="DX493" s="106"/>
      <c r="DY493" s="106"/>
      <c r="DZ493" s="106"/>
      <c r="EA493" s="106"/>
      <c r="EB493" s="106"/>
      <c r="EC493" s="106"/>
      <c r="ED493" s="106"/>
      <c r="EE493" s="106"/>
      <c r="EF493" s="106"/>
      <c r="EG493" s="106"/>
      <c r="EH493" s="106"/>
      <c r="EI493" s="106"/>
      <c r="EJ493" s="106"/>
      <c r="EK493" s="106"/>
      <c r="EL493" s="106"/>
      <c r="EM493" s="106"/>
      <c r="EN493" s="106"/>
      <c r="EO493" s="106"/>
      <c r="EP493" s="106"/>
      <c r="EQ493" s="106"/>
      <c r="ER493" s="106"/>
      <c r="ES493" s="106"/>
      <c r="ET493" s="106"/>
      <c r="EU493" s="106"/>
      <c r="EV493" s="106"/>
      <c r="EW493" s="106"/>
      <c r="EX493" s="106"/>
      <c r="EY493" s="106"/>
      <c r="EZ493" s="106"/>
      <c r="FA493" s="106"/>
      <c r="FB493" s="106"/>
      <c r="FC493" s="106"/>
      <c r="FD493" s="106"/>
      <c r="FE493" s="106"/>
      <c r="FF493" s="106"/>
      <c r="FG493" s="106"/>
      <c r="FH493" s="106"/>
      <c r="FI493" s="106"/>
      <c r="FJ493" s="106"/>
      <c r="FK493" s="106"/>
      <c r="FL493" s="106"/>
      <c r="FM493" s="106"/>
      <c r="FN493" s="106"/>
      <c r="FO493" s="106"/>
      <c r="FP493" s="106"/>
      <c r="FQ493" s="106"/>
      <c r="FR493" s="106"/>
      <c r="FS493" s="106"/>
      <c r="FT493" s="106"/>
      <c r="FU493" s="106"/>
      <c r="FV493" s="106"/>
      <c r="FW493" s="106"/>
      <c r="FX493" s="106"/>
      <c r="FY493" s="106"/>
      <c r="FZ493" s="106"/>
      <c r="GA493" s="106"/>
      <c r="GB493" s="106"/>
      <c r="GC493" s="106"/>
      <c r="GD493" s="106"/>
      <c r="GE493" s="106"/>
      <c r="GF493" s="106"/>
      <c r="GG493" s="106"/>
      <c r="GH493" s="106"/>
      <c r="GI493" s="106"/>
      <c r="GJ493" s="106"/>
      <c r="GK493" s="106"/>
      <c r="GL493" s="106"/>
      <c r="GM493" s="106"/>
      <c r="GN493" s="106"/>
      <c r="GO493" s="106"/>
      <c r="GP493" s="106"/>
      <c r="GQ493" s="106"/>
      <c r="GR493" s="106"/>
      <c r="GS493" s="106"/>
      <c r="GT493" s="106"/>
      <c r="GU493" s="106"/>
      <c r="GV493" s="106"/>
      <c r="GW493" s="106"/>
      <c r="GX493" s="106"/>
      <c r="GY493" s="106"/>
      <c r="GZ493" s="106"/>
      <c r="HA493" s="106"/>
      <c r="HB493" s="106"/>
      <c r="HC493" s="106"/>
      <c r="HD493" s="106"/>
      <c r="HE493" s="106"/>
      <c r="HF493" s="106"/>
      <c r="HG493" s="106"/>
      <c r="HH493" s="106"/>
      <c r="HI493" s="106"/>
      <c r="HJ493" s="106"/>
      <c r="HK493" s="106"/>
      <c r="HL493" s="106"/>
      <c r="HM493" s="106"/>
      <c r="HN493" s="106"/>
      <c r="HO493" s="106"/>
      <c r="HP493" s="106"/>
      <c r="HQ493" s="106"/>
      <c r="HR493" s="106"/>
      <c r="HS493" s="106"/>
      <c r="HT493" s="106"/>
      <c r="HU493" s="106"/>
      <c r="HV493" s="106"/>
      <c r="HW493" s="106"/>
      <c r="HX493" s="106"/>
      <c r="HY493" s="106"/>
      <c r="HZ493" s="106"/>
      <c r="IA493" s="106"/>
      <c r="IB493" s="106"/>
      <c r="IC493" s="106"/>
      <c r="ID493" s="106"/>
      <c r="IE493" s="106"/>
      <c r="IF493" s="106"/>
      <c r="IG493" s="106"/>
      <c r="IH493" s="106"/>
      <c r="II493" s="106"/>
      <c r="IJ493" s="106"/>
      <c r="IK493" s="106"/>
      <c r="IL493" s="106"/>
      <c r="IM493" s="106"/>
      <c r="IN493" s="106"/>
      <c r="IO493" s="106"/>
      <c r="IP493" s="106"/>
      <c r="IQ493" s="106"/>
      <c r="IR493" s="106"/>
      <c r="IS493" s="106"/>
      <c r="IT493" s="106"/>
      <c r="IU493" s="106"/>
      <c r="IV493" s="106"/>
      <c r="IW493" s="106"/>
      <c r="IX493" s="106"/>
      <c r="IY493" s="106"/>
      <c r="IZ493" s="106"/>
      <c r="JA493" s="106"/>
      <c r="JB493" s="106"/>
      <c r="JC493" s="106"/>
      <c r="JD493" s="106"/>
      <c r="JE493" s="106"/>
      <c r="JF493" s="106"/>
      <c r="JG493" s="106"/>
      <c r="JH493" s="106"/>
      <c r="JI493" s="106"/>
      <c r="JJ493" s="106"/>
      <c r="JK493" s="106"/>
      <c r="JL493" s="106"/>
      <c r="JM493" s="106"/>
      <c r="JN493" s="106"/>
      <c r="JO493" s="106"/>
      <c r="JP493" s="106"/>
      <c r="JQ493" s="106"/>
      <c r="JR493" s="106"/>
      <c r="JS493" s="106"/>
      <c r="JT493" s="106"/>
      <c r="JU493" s="106"/>
      <c r="JV493" s="106"/>
      <c r="JW493" s="106"/>
      <c r="JX493" s="106"/>
      <c r="JY493" s="106"/>
      <c r="JZ493" s="106"/>
      <c r="KA493" s="106"/>
      <c r="KB493" s="106"/>
      <c r="KC493" s="106"/>
      <c r="KD493" s="106"/>
      <c r="KE493" s="106"/>
      <c r="KF493" s="106"/>
      <c r="KG493" s="106"/>
      <c r="KH493" s="106"/>
      <c r="KI493" s="106"/>
      <c r="KJ493" s="106"/>
      <c r="KK493" s="106"/>
      <c r="KL493" s="106"/>
      <c r="KM493" s="106"/>
      <c r="KN493" s="106"/>
      <c r="KO493" s="106"/>
      <c r="KP493" s="106"/>
      <c r="KQ493" s="106"/>
      <c r="KR493" s="106"/>
      <c r="KS493" s="106"/>
      <c r="KT493" s="106"/>
      <c r="KU493" s="106"/>
      <c r="KV493" s="106"/>
      <c r="KW493" s="106"/>
      <c r="KX493" s="106"/>
      <c r="KY493" s="106"/>
      <c r="KZ493" s="106"/>
      <c r="LA493" s="106"/>
      <c r="LB493" s="106"/>
      <c r="LC493" s="106"/>
      <c r="LD493" s="106"/>
      <c r="LE493" s="106"/>
      <c r="LF493" s="106"/>
      <c r="LG493" s="106"/>
      <c r="LH493" s="106"/>
      <c r="LI493" s="106"/>
      <c r="LJ493" s="106"/>
      <c r="LK493" s="106"/>
      <c r="LL493" s="106"/>
      <c r="LM493" s="106"/>
      <c r="LN493" s="106"/>
      <c r="LO493" s="106"/>
      <c r="LP493" s="106"/>
      <c r="LQ493" s="106"/>
      <c r="LR493" s="106"/>
      <c r="LS493" s="106"/>
      <c r="LT493" s="106"/>
      <c r="LU493" s="106"/>
      <c r="LV493" s="106"/>
      <c r="LW493" s="106"/>
      <c r="LX493" s="106"/>
      <c r="LY493" s="106"/>
      <c r="LZ493" s="106"/>
      <c r="MA493" s="106"/>
      <c r="MB493" s="106"/>
      <c r="MC493" s="106"/>
      <c r="MD493" s="106"/>
      <c r="ME493" s="106"/>
      <c r="MF493" s="106"/>
      <c r="MG493" s="106"/>
      <c r="MH493" s="106"/>
      <c r="MI493" s="106"/>
      <c r="MJ493" s="106"/>
      <c r="MK493" s="106"/>
      <c r="ML493" s="106"/>
      <c r="MM493" s="106"/>
      <c r="MN493" s="106"/>
      <c r="MO493" s="106"/>
      <c r="MP493" s="106"/>
      <c r="MQ493" s="106"/>
      <c r="MR493" s="106"/>
      <c r="MS493" s="106"/>
      <c r="MT493" s="106"/>
      <c r="MU493" s="106"/>
      <c r="MV493" s="106"/>
      <c r="MW493" s="106"/>
      <c r="MX493" s="106"/>
      <c r="MY493" s="106"/>
      <c r="MZ493" s="106"/>
      <c r="NA493" s="106"/>
      <c r="NB493" s="106"/>
      <c r="NC493" s="106"/>
      <c r="ND493" s="106"/>
      <c r="NE493" s="106"/>
      <c r="NF493" s="106"/>
      <c r="NG493" s="106"/>
      <c r="NH493" s="106"/>
      <c r="NI493" s="106"/>
      <c r="NJ493" s="106"/>
      <c r="NK493" s="106"/>
      <c r="NL493" s="106"/>
      <c r="NM493" s="106"/>
      <c r="NN493" s="106"/>
      <c r="NO493" s="106"/>
      <c r="NP493" s="106"/>
      <c r="NQ493" s="106"/>
      <c r="NR493" s="106"/>
      <c r="NS493" s="106"/>
      <c r="NT493" s="106"/>
      <c r="NU493" s="106"/>
      <c r="NV493" s="106"/>
      <c r="NW493" s="106"/>
      <c r="NX493" s="106"/>
      <c r="NY493" s="106"/>
      <c r="NZ493" s="106"/>
      <c r="OA493" s="106"/>
      <c r="OB493" s="106"/>
      <c r="OC493" s="106"/>
      <c r="OD493" s="106"/>
      <c r="OE493" s="106"/>
      <c r="OF493" s="106"/>
      <c r="OG493" s="106"/>
      <c r="OH493" s="106"/>
      <c r="OI493" s="106"/>
      <c r="OJ493" s="106"/>
      <c r="OK493" s="106"/>
      <c r="OL493" s="106"/>
      <c r="OM493" s="106"/>
      <c r="ON493" s="106"/>
      <c r="OO493" s="106"/>
      <c r="OP493" s="106"/>
      <c r="OQ493" s="106"/>
      <c r="OR493" s="106"/>
      <c r="OS493" s="106"/>
      <c r="OT493" s="106"/>
      <c r="OU493" s="106"/>
      <c r="OV493" s="106"/>
      <c r="OW493" s="106"/>
      <c r="OX493" s="106"/>
      <c r="OY493" s="106"/>
      <c r="OZ493" s="106"/>
      <c r="PA493" s="106"/>
      <c r="PB493" s="106"/>
      <c r="PC493" s="106"/>
      <c r="PD493" s="106"/>
      <c r="PE493" s="106"/>
      <c r="PF493" s="106"/>
      <c r="PG493" s="106"/>
      <c r="PH493" s="106"/>
      <c r="PI493" s="106"/>
      <c r="PJ493" s="106"/>
      <c r="PK493" s="106"/>
      <c r="PL493" s="106"/>
      <c r="PM493" s="106"/>
      <c r="PN493" s="106"/>
      <c r="PO493" s="106"/>
      <c r="PP493" s="106"/>
      <c r="PQ493" s="106"/>
      <c r="PR493" s="106"/>
      <c r="PS493" s="106"/>
      <c r="PT493" s="106"/>
      <c r="PU493" s="106"/>
      <c r="PV493" s="106"/>
      <c r="PW493" s="106"/>
      <c r="PX493" s="106"/>
      <c r="PY493" s="106"/>
      <c r="PZ493" s="106"/>
      <c r="QA493" s="106"/>
      <c r="QB493" s="106"/>
      <c r="QC493" s="106"/>
      <c r="QD493" s="106"/>
      <c r="QE493" s="106"/>
      <c r="QF493" s="106"/>
      <c r="QG493" s="106"/>
      <c r="QH493" s="106"/>
      <c r="QI493" s="106"/>
      <c r="QJ493" s="106"/>
      <c r="QK493" s="106"/>
      <c r="QL493" s="106"/>
      <c r="QM493" s="106"/>
      <c r="QN493" s="106"/>
      <c r="QO493" s="106"/>
      <c r="QP493" s="106"/>
      <c r="QQ493" s="106"/>
      <c r="QR493" s="106"/>
      <c r="QS493" s="106"/>
      <c r="QT493" s="106"/>
      <c r="QU493" s="106"/>
      <c r="QV493" s="106"/>
      <c r="QW493" s="106"/>
      <c r="QX493" s="106"/>
      <c r="QY493" s="106"/>
      <c r="QZ493" s="106"/>
      <c r="RA493" s="106"/>
      <c r="RB493" s="106"/>
      <c r="RC493" s="106"/>
      <c r="RD493" s="106"/>
      <c r="RE493" s="106"/>
      <c r="RF493" s="106"/>
      <c r="RG493" s="106"/>
      <c r="RH493" s="106"/>
      <c r="RI493" s="106"/>
      <c r="RJ493" s="106"/>
      <c r="RK493" s="106"/>
      <c r="RL493" s="106"/>
      <c r="RM493" s="106"/>
      <c r="RN493" s="106"/>
      <c r="RO493" s="106"/>
      <c r="RP493" s="106"/>
      <c r="RQ493" s="106"/>
      <c r="RR493" s="106"/>
      <c r="RS493" s="106"/>
      <c r="RT493" s="106"/>
      <c r="RU493" s="106"/>
      <c r="RV493" s="106"/>
      <c r="RW493" s="106"/>
      <c r="RX493" s="106"/>
      <c r="RY493" s="106"/>
      <c r="RZ493" s="106"/>
      <c r="SA493" s="106"/>
      <c r="SB493" s="106"/>
      <c r="SC493" s="106"/>
      <c r="SD493" s="106"/>
      <c r="SE493" s="106"/>
      <c r="SF493" s="106"/>
      <c r="SG493" s="106"/>
      <c r="SH493" s="106"/>
      <c r="SI493" s="106"/>
      <c r="SJ493" s="106"/>
      <c r="SK493" s="106"/>
      <c r="SL493" s="106"/>
      <c r="SM493" s="106"/>
      <c r="SN493" s="106"/>
      <c r="SO493" s="106"/>
      <c r="SP493" s="106"/>
      <c r="SQ493" s="106"/>
      <c r="SR493" s="106"/>
      <c r="SS493" s="106"/>
      <c r="ST493" s="106"/>
      <c r="SU493" s="106"/>
      <c r="SV493" s="106"/>
      <c r="SW493" s="106"/>
      <c r="SX493" s="106"/>
      <c r="SY493" s="106"/>
      <c r="SZ493" s="106"/>
      <c r="TA493" s="106"/>
      <c r="TB493" s="106"/>
      <c r="TC493" s="106"/>
      <c r="TD493" s="106"/>
      <c r="TE493" s="106"/>
      <c r="TF493" s="106"/>
      <c r="TG493" s="106"/>
      <c r="TH493" s="106"/>
      <c r="TI493" s="106"/>
      <c r="TJ493" s="106"/>
      <c r="TK493" s="106"/>
      <c r="TL493" s="106"/>
      <c r="TM493" s="106"/>
      <c r="TN493" s="106"/>
      <c r="TO493" s="106"/>
      <c r="TP493" s="106"/>
      <c r="TQ493" s="106"/>
      <c r="TR493" s="106"/>
      <c r="TS493" s="106"/>
      <c r="TT493" s="106"/>
      <c r="TU493" s="106"/>
      <c r="TV493" s="106"/>
      <c r="TW493" s="106"/>
      <c r="TX493" s="106"/>
      <c r="TY493" s="106"/>
      <c r="TZ493" s="106"/>
      <c r="UA493" s="106"/>
      <c r="UB493" s="106"/>
      <c r="UC493" s="106"/>
      <c r="UD493" s="106"/>
      <c r="UE493" s="106"/>
      <c r="UF493" s="106"/>
      <c r="UG493" s="106"/>
      <c r="UH493" s="106"/>
      <c r="UI493" s="106"/>
      <c r="UJ493" s="106"/>
      <c r="UK493" s="106"/>
      <c r="UL493" s="106"/>
      <c r="UM493" s="106"/>
      <c r="UN493" s="106"/>
      <c r="UO493" s="106"/>
      <c r="UP493" s="106"/>
      <c r="UQ493" s="106"/>
      <c r="UR493" s="106"/>
      <c r="US493" s="106"/>
      <c r="UT493" s="106"/>
      <c r="UU493" s="106"/>
      <c r="UV493" s="106"/>
      <c r="UW493" s="106"/>
      <c r="UX493" s="106"/>
      <c r="UY493" s="106"/>
      <c r="UZ493" s="106"/>
      <c r="VA493" s="106"/>
      <c r="VB493" s="106"/>
      <c r="VC493" s="106"/>
      <c r="VD493" s="106"/>
      <c r="VE493" s="106"/>
      <c r="VF493" s="106"/>
      <c r="VG493" s="106"/>
      <c r="VH493" s="106"/>
      <c r="VI493" s="106"/>
      <c r="VJ493" s="106"/>
      <c r="VK493" s="106"/>
      <c r="VL493" s="106"/>
      <c r="VM493" s="106"/>
      <c r="VN493" s="106"/>
      <c r="VO493" s="106"/>
      <c r="VP493" s="106"/>
      <c r="VQ493" s="106"/>
      <c r="VR493" s="106"/>
      <c r="VS493" s="106"/>
      <c r="VT493" s="106"/>
      <c r="VU493" s="106"/>
      <c r="VV493" s="106"/>
      <c r="VW493" s="106"/>
      <c r="VX493" s="106"/>
      <c r="VY493" s="106"/>
      <c r="VZ493" s="106"/>
      <c r="WA493" s="106"/>
      <c r="WB493" s="106"/>
      <c r="WC493" s="106"/>
      <c r="WD493" s="106"/>
      <c r="WE493" s="106"/>
      <c r="WF493" s="106"/>
      <c r="WG493" s="106"/>
      <c r="WH493" s="106"/>
      <c r="WI493" s="106"/>
      <c r="WJ493" s="106"/>
      <c r="WK493" s="106"/>
      <c r="WL493" s="106"/>
      <c r="WM493" s="106"/>
      <c r="WN493" s="106"/>
      <c r="WO493" s="106"/>
      <c r="WP493" s="106"/>
      <c r="WQ493" s="106"/>
      <c r="WR493" s="106"/>
      <c r="WS493" s="106"/>
      <c r="WT493" s="106"/>
      <c r="WU493" s="106"/>
      <c r="WV493" s="106"/>
      <c r="WW493" s="106"/>
      <c r="WX493" s="106"/>
      <c r="WY493" s="106"/>
      <c r="WZ493" s="106"/>
      <c r="XA493" s="106"/>
      <c r="XB493" s="106"/>
      <c r="XC493" s="106"/>
      <c r="XD493" s="106"/>
      <c r="XE493" s="106"/>
      <c r="XF493" s="106"/>
      <c r="XG493" s="106"/>
      <c r="XH493" s="106"/>
      <c r="XI493" s="106"/>
      <c r="XJ493" s="106"/>
      <c r="XK493" s="106"/>
      <c r="XL493" s="106"/>
      <c r="XM493" s="106"/>
      <c r="XN493" s="106"/>
      <c r="XO493" s="106"/>
      <c r="XP493" s="106"/>
      <c r="XQ493" s="106"/>
      <c r="XR493" s="106"/>
      <c r="XS493" s="106"/>
      <c r="XT493" s="106"/>
      <c r="XU493" s="106"/>
      <c r="XV493" s="106"/>
      <c r="XW493" s="106"/>
      <c r="XX493" s="106"/>
      <c r="XY493" s="106"/>
      <c r="XZ493" s="106"/>
      <c r="YA493" s="106"/>
      <c r="YB493" s="106"/>
      <c r="YC493" s="106"/>
      <c r="YD493" s="106"/>
      <c r="YE493" s="106"/>
      <c r="YF493" s="106"/>
      <c r="YG493" s="106"/>
      <c r="YH493" s="106"/>
      <c r="YI493" s="106"/>
      <c r="YJ493" s="106"/>
      <c r="YK493" s="106"/>
      <c r="YL493" s="106"/>
      <c r="YM493" s="106"/>
      <c r="YN493" s="106"/>
      <c r="YO493" s="106"/>
      <c r="YP493" s="106"/>
      <c r="YQ493" s="106"/>
      <c r="YR493" s="106"/>
      <c r="YS493" s="106"/>
      <c r="YT493" s="106"/>
      <c r="YU493" s="106"/>
      <c r="YV493" s="106"/>
      <c r="YW493" s="106"/>
      <c r="YX493" s="106"/>
      <c r="YY493" s="106"/>
      <c r="YZ493" s="106"/>
      <c r="ZA493" s="106"/>
      <c r="ZB493" s="106"/>
      <c r="ZC493" s="106"/>
      <c r="ZD493" s="106"/>
      <c r="ZE493" s="106"/>
      <c r="ZF493" s="106"/>
      <c r="ZG493" s="106"/>
      <c r="ZH493" s="106"/>
      <c r="ZI493" s="106"/>
      <c r="ZJ493" s="106"/>
      <c r="ZK493" s="106"/>
      <c r="ZL493" s="106"/>
      <c r="ZM493" s="106"/>
      <c r="ZN493" s="106"/>
      <c r="ZO493" s="106"/>
      <c r="ZP493" s="106"/>
      <c r="ZQ493" s="106"/>
      <c r="ZR493" s="106"/>
      <c r="ZS493" s="106"/>
      <c r="ZT493" s="106"/>
      <c r="ZU493" s="106"/>
      <c r="ZV493" s="106"/>
      <c r="ZW493" s="106"/>
      <c r="ZX493" s="106"/>
      <c r="ZY493" s="106"/>
      <c r="ZZ493" s="106"/>
      <c r="AAA493" s="106"/>
      <c r="AAB493" s="106"/>
      <c r="AAC493" s="106"/>
      <c r="AAD493" s="106"/>
      <c r="AAE493" s="106"/>
      <c r="AAF493" s="106"/>
      <c r="AAG493" s="106"/>
      <c r="AAH493" s="106"/>
      <c r="AAI493" s="106"/>
      <c r="AAJ493" s="106"/>
      <c r="AAK493" s="106"/>
      <c r="AAL493" s="106"/>
      <c r="AAM493" s="106"/>
      <c r="AAN493" s="106"/>
      <c r="AAO493" s="106"/>
      <c r="AAP493" s="106"/>
      <c r="AAQ493" s="106"/>
      <c r="AAR493" s="106"/>
      <c r="AAS493" s="106"/>
      <c r="AAT493" s="106"/>
      <c r="AAU493" s="106"/>
      <c r="AAV493" s="106"/>
      <c r="AAW493" s="106"/>
      <c r="AAX493" s="106"/>
      <c r="AAY493" s="106"/>
      <c r="AAZ493" s="106"/>
      <c r="ABA493" s="106"/>
      <c r="ABB493" s="106"/>
      <c r="ABC493" s="106"/>
      <c r="ABD493" s="106"/>
      <c r="ABE493" s="106"/>
      <c r="ABF493" s="106"/>
      <c r="ABG493" s="106"/>
      <c r="ABH493" s="106"/>
      <c r="ABI493" s="106"/>
      <c r="ABJ493" s="106"/>
      <c r="ABK493" s="106"/>
      <c r="ABL493" s="106"/>
      <c r="ABM493" s="106"/>
      <c r="ABN493" s="106"/>
      <c r="ABO493" s="106"/>
      <c r="ABP493" s="106"/>
      <c r="ABQ493" s="106"/>
      <c r="ABR493" s="106"/>
      <c r="ABS493" s="106"/>
      <c r="ABT493" s="106"/>
      <c r="ABU493" s="106"/>
      <c r="ABV493" s="106"/>
      <c r="ABW493" s="106"/>
      <c r="ABX493" s="106"/>
      <c r="ABY493" s="106"/>
      <c r="ABZ493" s="106"/>
      <c r="ACA493" s="106"/>
      <c r="ACB493" s="106"/>
      <c r="ACC493" s="106"/>
      <c r="ACD493" s="106"/>
      <c r="ACE493" s="106"/>
      <c r="ACF493" s="106"/>
      <c r="ACG493" s="106"/>
      <c r="ACH493" s="106"/>
      <c r="ACI493" s="106"/>
      <c r="ACJ493" s="106"/>
      <c r="ACK493" s="106"/>
      <c r="ACL493" s="106"/>
      <c r="ACM493" s="106"/>
      <c r="ACN493" s="106"/>
      <c r="ACO493" s="106"/>
      <c r="ACP493" s="106"/>
      <c r="ACQ493" s="106"/>
      <c r="ACR493" s="106"/>
      <c r="ACS493" s="106"/>
      <c r="ACT493" s="106"/>
      <c r="ACU493" s="106"/>
      <c r="ACV493" s="106"/>
      <c r="ACW493" s="106"/>
      <c r="ACX493" s="106"/>
      <c r="ACY493" s="106"/>
      <c r="ACZ493" s="106"/>
      <c r="ADA493" s="106"/>
      <c r="ADB493" s="106"/>
      <c r="ADC493" s="106"/>
      <c r="ADD493" s="106"/>
      <c r="ADE493" s="106"/>
      <c r="ADF493" s="106"/>
      <c r="ADG493" s="106"/>
      <c r="ADH493" s="106"/>
      <c r="ADI493" s="106"/>
      <c r="ADJ493" s="106"/>
      <c r="ADK493" s="106"/>
      <c r="ADL493" s="106"/>
      <c r="ADM493" s="106"/>
      <c r="ADN493" s="106"/>
      <c r="ADO493" s="106"/>
      <c r="ADP493" s="106"/>
      <c r="ADQ493" s="106"/>
      <c r="ADR493" s="106"/>
      <c r="ADS493" s="106"/>
      <c r="ADT493" s="106"/>
      <c r="ADU493" s="106"/>
      <c r="ADV493" s="106"/>
      <c r="ADW493" s="106"/>
      <c r="ADX493" s="106"/>
      <c r="ADY493" s="106"/>
      <c r="ADZ493" s="106"/>
      <c r="AEA493" s="106"/>
      <c r="AEB493" s="106"/>
      <c r="AEC493" s="106"/>
      <c r="AED493" s="106"/>
      <c r="AEE493" s="106"/>
      <c r="AEF493" s="106"/>
      <c r="AEG493" s="106"/>
      <c r="AEH493" s="106"/>
      <c r="AEI493" s="106"/>
      <c r="AEJ493" s="106"/>
      <c r="AEK493" s="106"/>
      <c r="AEL493" s="106"/>
      <c r="AEM493" s="106"/>
      <c r="AEN493" s="106"/>
      <c r="AEO493" s="106"/>
      <c r="AEP493" s="106"/>
      <c r="AEQ493" s="106"/>
      <c r="AER493" s="106"/>
      <c r="AES493" s="106"/>
      <c r="AET493" s="106"/>
      <c r="AEU493" s="106"/>
      <c r="AEV493" s="106"/>
      <c r="AEW493" s="106"/>
      <c r="AEX493" s="106"/>
      <c r="AEY493" s="106"/>
      <c r="AEZ493" s="106"/>
      <c r="AFA493" s="106"/>
      <c r="AFB493" s="106"/>
      <c r="AFC493" s="106"/>
      <c r="AFD493" s="106"/>
      <c r="AFE493" s="106"/>
      <c r="AFF493" s="106"/>
      <c r="AFG493" s="106"/>
      <c r="AFH493" s="106"/>
      <c r="AFI493" s="106"/>
      <c r="AFJ493" s="106"/>
      <c r="AFK493" s="106"/>
      <c r="AFL493" s="106"/>
      <c r="AFM493" s="106"/>
      <c r="AFN493" s="106"/>
      <c r="AFO493" s="106"/>
      <c r="AFP493" s="106"/>
      <c r="AFQ493" s="106"/>
      <c r="AFR493" s="106"/>
      <c r="AFS493" s="106"/>
      <c r="AFT493" s="106"/>
      <c r="AFU493" s="106"/>
      <c r="AFV493" s="106"/>
      <c r="AFW493" s="106"/>
      <c r="AFX493" s="106"/>
      <c r="AFY493" s="106"/>
      <c r="AFZ493" s="106"/>
      <c r="AGA493" s="106"/>
      <c r="AGB493" s="106"/>
      <c r="AGC493" s="106"/>
      <c r="AGD493" s="106"/>
      <c r="AGE493" s="106"/>
      <c r="AGF493" s="106"/>
      <c r="AGG493" s="106"/>
      <c r="AGH493" s="106"/>
      <c r="AGI493" s="106"/>
      <c r="AGJ493" s="106"/>
      <c r="AGK493" s="106"/>
      <c r="AGL493" s="106"/>
      <c r="AGM493" s="106"/>
      <c r="AGN493" s="106"/>
      <c r="AGO493" s="106"/>
      <c r="AGP493" s="106"/>
      <c r="AGQ493" s="106"/>
      <c r="AGR493" s="106"/>
      <c r="AGS493" s="106"/>
      <c r="AGT493" s="106"/>
      <c r="AGU493" s="106"/>
      <c r="AGV493" s="106"/>
      <c r="AGW493" s="106"/>
      <c r="AGX493" s="106"/>
      <c r="AGY493" s="106"/>
      <c r="AGZ493" s="106"/>
      <c r="AHA493" s="106"/>
      <c r="AHB493" s="106"/>
      <c r="AHC493" s="106"/>
      <c r="AHD493" s="106"/>
      <c r="AHE493" s="106"/>
      <c r="AHF493" s="106"/>
      <c r="AHG493" s="106"/>
      <c r="AHH493" s="106"/>
      <c r="AHI493" s="106"/>
      <c r="AHJ493" s="106"/>
      <c r="AHK493" s="106"/>
      <c r="AHL493" s="106"/>
      <c r="AHM493" s="106"/>
      <c r="AHN493" s="106"/>
      <c r="AHO493" s="106"/>
      <c r="AHP493" s="106"/>
      <c r="AHQ493" s="106"/>
      <c r="AHR493" s="106"/>
      <c r="AHS493" s="106"/>
      <c r="AHT493" s="106"/>
      <c r="AHU493" s="106"/>
      <c r="AHV493" s="106"/>
      <c r="AHW493" s="106"/>
      <c r="AHX493" s="106"/>
      <c r="AHY493" s="106"/>
      <c r="AHZ493" s="106"/>
      <c r="AIA493" s="106"/>
      <c r="AIB493" s="106"/>
      <c r="AIC493" s="106"/>
      <c r="AID493" s="106"/>
      <c r="AIE493" s="106"/>
      <c r="AIF493" s="106"/>
      <c r="AIG493" s="106"/>
      <c r="AIH493" s="106"/>
      <c r="AII493" s="106"/>
      <c r="AIJ493" s="106"/>
      <c r="AIK493" s="106"/>
      <c r="AIL493" s="106"/>
      <c r="AIM493" s="106"/>
      <c r="AIN493" s="106"/>
      <c r="AIO493" s="106"/>
      <c r="AIP493" s="106"/>
      <c r="AIQ493" s="106"/>
      <c r="AIR493" s="106"/>
      <c r="AIS493" s="106"/>
      <c r="AIT493" s="106"/>
      <c r="AIU493" s="106"/>
      <c r="AIV493" s="106"/>
      <c r="AIW493" s="106"/>
      <c r="AIX493" s="106"/>
      <c r="AIY493" s="106"/>
      <c r="AIZ493" s="106"/>
      <c r="AJA493" s="106"/>
      <c r="AJB493" s="106"/>
      <c r="AJC493" s="106"/>
      <c r="AJD493" s="106"/>
      <c r="AJE493" s="106"/>
      <c r="AJF493" s="106"/>
      <c r="AJG493" s="106"/>
      <c r="AJH493" s="106"/>
      <c r="AJI493" s="106"/>
      <c r="AJJ493" s="106"/>
      <c r="AJK493" s="106"/>
      <c r="AJL493" s="106"/>
      <c r="AJM493" s="106"/>
      <c r="AJN493" s="106"/>
      <c r="AJO493" s="106"/>
      <c r="AJP493" s="106"/>
      <c r="AJQ493" s="106"/>
      <c r="AJR493" s="106"/>
      <c r="AJS493" s="106"/>
      <c r="AJT493" s="106"/>
      <c r="AJU493" s="106"/>
      <c r="AJV493" s="106"/>
      <c r="AJW493" s="106"/>
      <c r="AJX493" s="106"/>
      <c r="AJY493" s="106"/>
      <c r="AJZ493" s="106"/>
      <c r="AKA493" s="106"/>
      <c r="AKB493" s="106"/>
      <c r="AKC493" s="106"/>
      <c r="AKD493" s="106"/>
      <c r="AKE493" s="106"/>
      <c r="AKF493" s="106"/>
      <c r="AKG493" s="106"/>
      <c r="AKH493" s="106"/>
      <c r="AKI493" s="106"/>
      <c r="AKJ493" s="106"/>
      <c r="AKK493" s="106"/>
      <c r="AKL493" s="106"/>
      <c r="AKM493" s="106"/>
      <c r="AKN493" s="106"/>
      <c r="AKO493" s="106"/>
      <c r="AKP493" s="106"/>
      <c r="AKQ493" s="106"/>
      <c r="AKR493" s="106"/>
      <c r="AKS493" s="106"/>
      <c r="AKT493" s="106"/>
      <c r="AKU493" s="106"/>
      <c r="AKV493" s="106"/>
      <c r="AKW493" s="106"/>
      <c r="AKX493" s="106"/>
      <c r="AKY493" s="106"/>
      <c r="AKZ493" s="106"/>
      <c r="ALA493" s="106"/>
      <c r="ALB493" s="106"/>
      <c r="ALC493" s="106"/>
      <c r="ALD493" s="106"/>
      <c r="ALE493" s="106"/>
      <c r="ALF493" s="106"/>
      <c r="ALG493" s="106"/>
      <c r="ALH493" s="106"/>
      <c r="ALI493" s="106"/>
      <c r="ALJ493" s="106"/>
      <c r="ALK493" s="106"/>
      <c r="ALL493" s="106"/>
      <c r="ALM493" s="106"/>
      <c r="ALN493" s="106"/>
      <c r="ALO493" s="106"/>
      <c r="ALP493" s="106"/>
      <c r="ALQ493" s="106"/>
      <c r="ALR493" s="106"/>
      <c r="ALS493" s="106"/>
      <c r="ALT493" s="106"/>
      <c r="ALU493" s="106"/>
      <c r="ALV493" s="106"/>
      <c r="ALW493" s="106"/>
      <c r="ALX493" s="106"/>
      <c r="ALY493" s="106"/>
      <c r="ALZ493" s="106"/>
      <c r="AMA493" s="106"/>
      <c r="AMB493" s="106"/>
      <c r="AMC493" s="106"/>
      <c r="AMD493" s="106"/>
      <c r="AME493" s="106"/>
      <c r="AMF493" s="106"/>
      <c r="AMG493" s="106"/>
      <c r="AMH493" s="106"/>
      <c r="AMI493" s="106"/>
      <c r="AMJ493" s="106"/>
      <c r="AMK493" s="106"/>
      <c r="AML493" s="106"/>
      <c r="AMM493" s="106"/>
      <c r="AMN493" s="106"/>
      <c r="AMO493" s="106"/>
      <c r="AMP493" s="106"/>
      <c r="AMQ493" s="106"/>
      <c r="AMR493" s="106"/>
      <c r="AMS493" s="106"/>
      <c r="AMT493" s="106"/>
      <c r="AMU493" s="106"/>
      <c r="AMV493" s="106"/>
      <c r="AMW493" s="106"/>
      <c r="AMX493" s="106"/>
      <c r="AMY493" s="106"/>
      <c r="AMZ493" s="106"/>
      <c r="ANA493" s="106"/>
      <c r="ANB493" s="106"/>
      <c r="ANC493" s="106"/>
      <c r="AND493" s="106"/>
      <c r="ANE493" s="106"/>
      <c r="ANF493" s="106"/>
      <c r="ANG493" s="106"/>
      <c r="ANH493" s="106"/>
      <c r="ANI493" s="106"/>
      <c r="ANJ493" s="106"/>
      <c r="ANK493" s="106"/>
      <c r="ANL493" s="106"/>
      <c r="ANM493" s="106"/>
      <c r="ANN493" s="106"/>
      <c r="ANO493" s="106"/>
      <c r="ANP493" s="106"/>
      <c r="ANQ493" s="106"/>
      <c r="ANR493" s="106"/>
      <c r="ANS493" s="106"/>
      <c r="ANT493" s="106"/>
      <c r="ANU493" s="106"/>
      <c r="ANV493" s="106"/>
      <c r="ANW493" s="106"/>
      <c r="ANX493" s="106"/>
      <c r="ANY493" s="106"/>
      <c r="ANZ493" s="106"/>
      <c r="AOA493" s="106"/>
      <c r="AOB493" s="106"/>
      <c r="AOC493" s="106"/>
      <c r="AOD493" s="106"/>
      <c r="AOE493" s="106"/>
      <c r="AOF493" s="106"/>
      <c r="AOG493" s="106"/>
      <c r="AOH493" s="106"/>
      <c r="AOI493" s="106"/>
      <c r="AOJ493" s="106"/>
      <c r="AOK493" s="106"/>
      <c r="AOL493" s="106"/>
      <c r="AOM493" s="106"/>
      <c r="AON493" s="106"/>
      <c r="AOO493" s="106"/>
      <c r="AOP493" s="106"/>
      <c r="AOQ493" s="106"/>
      <c r="AOR493" s="106"/>
      <c r="AOS493" s="106"/>
      <c r="AOT493" s="106"/>
      <c r="AOU493" s="106"/>
      <c r="AOV493" s="106"/>
      <c r="AOW493" s="106"/>
      <c r="AOX493" s="106"/>
      <c r="AOY493" s="106"/>
      <c r="AOZ493" s="106"/>
      <c r="APA493" s="106"/>
      <c r="APB493" s="106"/>
      <c r="APC493" s="106"/>
      <c r="APD493" s="106"/>
      <c r="APE493" s="106"/>
      <c r="APF493" s="106"/>
      <c r="APG493" s="106"/>
      <c r="APH493" s="106"/>
      <c r="API493" s="106"/>
      <c r="APJ493" s="106"/>
      <c r="APK493" s="106"/>
      <c r="APL493" s="106"/>
      <c r="APM493" s="106"/>
      <c r="APN493" s="106"/>
      <c r="APO493" s="106"/>
      <c r="APP493" s="106"/>
      <c r="APQ493" s="106"/>
      <c r="APR493" s="106"/>
      <c r="APS493" s="106"/>
      <c r="APT493" s="106"/>
      <c r="APU493" s="106"/>
      <c r="APV493" s="106"/>
      <c r="APW493" s="106"/>
      <c r="APX493" s="106"/>
      <c r="APY493" s="106"/>
      <c r="APZ493" s="106"/>
      <c r="AQA493" s="106"/>
      <c r="AQB493" s="106"/>
      <c r="AQC493" s="106"/>
      <c r="AQD493" s="106"/>
      <c r="AQE493" s="106"/>
      <c r="AQF493" s="106"/>
      <c r="AQG493" s="106"/>
      <c r="AQH493" s="106"/>
      <c r="AQI493" s="106"/>
      <c r="AQJ493" s="106"/>
      <c r="AQK493" s="106"/>
      <c r="AQL493" s="106"/>
      <c r="AQM493" s="106"/>
      <c r="AQN493" s="106"/>
      <c r="AQO493" s="106"/>
      <c r="AQP493" s="106"/>
      <c r="AQQ493" s="106"/>
      <c r="AQR493" s="106"/>
      <c r="AQS493" s="106"/>
      <c r="AQT493" s="106"/>
      <c r="AQU493" s="106"/>
      <c r="AQV493" s="106"/>
      <c r="AQW493" s="106"/>
      <c r="AQX493" s="106"/>
      <c r="AQY493" s="106"/>
      <c r="AQZ493" s="106"/>
      <c r="ARA493" s="106"/>
      <c r="ARB493" s="106"/>
      <c r="ARC493" s="106"/>
      <c r="ARD493" s="106"/>
      <c r="ARE493" s="106"/>
      <c r="ARF493" s="106"/>
      <c r="ARG493" s="106"/>
      <c r="ARH493" s="106"/>
      <c r="ARI493" s="106"/>
      <c r="ARJ493" s="106"/>
      <c r="ARK493" s="106"/>
      <c r="ARL493" s="106"/>
      <c r="ARM493" s="106"/>
      <c r="ARN493" s="106"/>
      <c r="ARO493" s="106"/>
      <c r="ARP493" s="106"/>
      <c r="ARQ493" s="106"/>
      <c r="ARR493" s="106"/>
      <c r="ARS493" s="106"/>
      <c r="ART493" s="106"/>
      <c r="ARU493" s="106"/>
      <c r="ARV493" s="106"/>
      <c r="ARW493" s="106"/>
      <c r="ARX493" s="106"/>
      <c r="ARY493" s="106"/>
      <c r="ARZ493" s="106"/>
      <c r="ASA493" s="106"/>
      <c r="ASB493" s="106"/>
      <c r="ASC493" s="106"/>
      <c r="ASD493" s="106"/>
      <c r="ASE493" s="106"/>
      <c r="ASF493" s="106"/>
      <c r="ASG493" s="106"/>
      <c r="ASH493" s="106"/>
      <c r="ASI493" s="106"/>
      <c r="ASJ493" s="106"/>
      <c r="ASK493" s="106"/>
      <c r="ASL493" s="106"/>
      <c r="ASM493" s="106"/>
      <c r="ASN493" s="106"/>
      <c r="ASO493" s="106"/>
      <c r="ASP493" s="106"/>
      <c r="ASQ493" s="106"/>
      <c r="ASR493" s="106"/>
      <c r="ASS493" s="106"/>
      <c r="AST493" s="106"/>
      <c r="ASU493" s="106"/>
      <c r="ASV493" s="106"/>
      <c r="ASW493" s="106"/>
      <c r="ASX493" s="106"/>
      <c r="ASY493" s="106"/>
      <c r="ASZ493" s="106"/>
      <c r="ATA493" s="106"/>
      <c r="ATB493" s="106"/>
      <c r="ATC493" s="106"/>
      <c r="ATD493" s="106"/>
      <c r="ATE493" s="106"/>
      <c r="ATF493" s="106"/>
      <c r="ATG493" s="106"/>
      <c r="ATH493" s="106"/>
      <c r="ATI493" s="106"/>
      <c r="ATJ493" s="106"/>
      <c r="ATK493" s="106"/>
      <c r="ATL493" s="106"/>
      <c r="ATM493" s="106"/>
      <c r="ATN493" s="106"/>
      <c r="ATO493" s="106"/>
      <c r="ATP493" s="106"/>
      <c r="ATQ493" s="106"/>
      <c r="ATR493" s="106"/>
      <c r="ATS493" s="106"/>
      <c r="ATT493" s="106"/>
      <c r="ATU493" s="106"/>
      <c r="ATV493" s="106"/>
      <c r="ATW493" s="106"/>
      <c r="ATX493" s="106"/>
      <c r="ATY493" s="106"/>
      <c r="ATZ493" s="106"/>
      <c r="AUA493" s="106"/>
      <c r="AUB493" s="106"/>
      <c r="AUC493" s="106"/>
      <c r="AUD493" s="106"/>
      <c r="AUE493" s="106"/>
      <c r="AUF493" s="106"/>
      <c r="AUG493" s="106"/>
      <c r="AUH493" s="106"/>
      <c r="AUI493" s="106"/>
      <c r="AUJ493" s="106"/>
      <c r="AUK493" s="106"/>
      <c r="AUL493" s="106"/>
      <c r="AUM493" s="106"/>
      <c r="AUN493" s="106"/>
      <c r="AUO493" s="106"/>
      <c r="AUP493" s="106"/>
      <c r="AUQ493" s="106"/>
      <c r="AUR493" s="106"/>
      <c r="AUS493" s="106"/>
      <c r="AUT493" s="106"/>
      <c r="AUU493" s="106"/>
      <c r="AUV493" s="106"/>
      <c r="AUW493" s="106"/>
      <c r="AUX493" s="106"/>
      <c r="AUY493" s="106"/>
      <c r="AUZ493" s="106"/>
      <c r="AVA493" s="106"/>
      <c r="AVB493" s="106"/>
      <c r="AVC493" s="106"/>
      <c r="AVD493" s="106"/>
      <c r="AVE493" s="106"/>
      <c r="AVF493" s="106"/>
      <c r="AVG493" s="106"/>
      <c r="AVH493" s="106"/>
      <c r="AVI493" s="106"/>
      <c r="AVJ493" s="106"/>
      <c r="AVK493" s="106"/>
      <c r="AVL493" s="106"/>
      <c r="AVM493" s="106"/>
      <c r="AVN493" s="106"/>
      <c r="AVO493" s="106"/>
      <c r="AVP493" s="106"/>
      <c r="AVQ493" s="106"/>
      <c r="AVR493" s="106"/>
      <c r="AVS493" s="106"/>
      <c r="AVT493" s="106"/>
      <c r="AVU493" s="106"/>
      <c r="AVV493" s="106"/>
      <c r="AVW493" s="106"/>
      <c r="AVX493" s="106"/>
      <c r="AVY493" s="106"/>
      <c r="AVZ493" s="106"/>
      <c r="AWA493" s="106"/>
      <c r="AWB493" s="106"/>
      <c r="AWC493" s="106"/>
      <c r="AWD493" s="106"/>
      <c r="AWE493" s="106"/>
      <c r="AWF493" s="106"/>
      <c r="AWG493" s="106"/>
      <c r="AWH493" s="106"/>
      <c r="AWI493" s="106"/>
      <c r="AWJ493" s="106"/>
      <c r="AWK493" s="106"/>
      <c r="AWL493" s="106"/>
      <c r="AWM493" s="106"/>
      <c r="AWN493" s="106"/>
      <c r="AWO493" s="106"/>
      <c r="AWP493" s="106"/>
      <c r="AWQ493" s="106"/>
      <c r="AWR493" s="106"/>
      <c r="AWS493" s="106"/>
      <c r="AWT493" s="106"/>
      <c r="AWU493" s="106"/>
      <c r="AWV493" s="106"/>
      <c r="AWW493" s="106"/>
      <c r="AWX493" s="106"/>
      <c r="AWY493" s="106"/>
      <c r="AWZ493" s="106"/>
      <c r="AXA493" s="106"/>
      <c r="AXB493" s="106"/>
      <c r="AXC493" s="106"/>
      <c r="AXD493" s="106"/>
      <c r="AXE493" s="106"/>
      <c r="AXF493" s="106"/>
      <c r="AXG493" s="106"/>
      <c r="AXH493" s="106"/>
      <c r="AXI493" s="106"/>
      <c r="AXJ493" s="106"/>
      <c r="AXK493" s="106"/>
      <c r="AXL493" s="106"/>
      <c r="AXM493" s="106"/>
      <c r="AXN493" s="106"/>
      <c r="AXO493" s="106"/>
      <c r="AXP493" s="106"/>
      <c r="AXQ493" s="106"/>
      <c r="AXR493" s="106"/>
      <c r="AXS493" s="106"/>
      <c r="AXT493" s="106"/>
      <c r="AXU493" s="106"/>
      <c r="AXV493" s="106"/>
      <c r="AXW493" s="106"/>
      <c r="AXX493" s="106"/>
      <c r="AXY493" s="106"/>
      <c r="AXZ493" s="106"/>
      <c r="AYA493" s="106"/>
      <c r="AYB493" s="106"/>
      <c r="AYC493" s="106"/>
      <c r="AYD493" s="106"/>
      <c r="AYE493" s="106"/>
      <c r="AYF493" s="106"/>
      <c r="AYG493" s="106"/>
      <c r="AYH493" s="106"/>
      <c r="AYI493" s="106"/>
      <c r="AYJ493" s="106"/>
      <c r="AYK493" s="106"/>
      <c r="AYL493" s="106"/>
      <c r="AYM493" s="106"/>
      <c r="AYN493" s="106"/>
      <c r="AYO493" s="106"/>
      <c r="AYP493" s="106"/>
      <c r="AYQ493" s="106"/>
      <c r="AYR493" s="106"/>
      <c r="AYS493" s="106"/>
      <c r="AYT493" s="106"/>
      <c r="AYU493" s="106"/>
      <c r="AYV493" s="106"/>
      <c r="AYW493" s="106"/>
      <c r="AYX493" s="106"/>
      <c r="AYY493" s="106"/>
      <c r="AYZ493" s="106"/>
      <c r="AZA493" s="106"/>
      <c r="AZB493" s="106"/>
      <c r="AZC493" s="106"/>
      <c r="AZD493" s="106"/>
      <c r="AZE493" s="106"/>
      <c r="AZF493" s="106"/>
      <c r="AZG493" s="106"/>
      <c r="AZH493" s="106"/>
      <c r="AZI493" s="106"/>
      <c r="AZJ493" s="106"/>
      <c r="AZK493" s="106"/>
      <c r="AZL493" s="106"/>
      <c r="AZM493" s="106"/>
      <c r="AZN493" s="106"/>
      <c r="AZO493" s="106"/>
      <c r="AZP493" s="106"/>
      <c r="AZQ493" s="106"/>
      <c r="AZR493" s="106"/>
      <c r="AZS493" s="106"/>
      <c r="AZT493" s="106"/>
      <c r="AZU493" s="106"/>
      <c r="AZV493" s="106"/>
      <c r="AZW493" s="106"/>
      <c r="AZX493" s="106"/>
      <c r="AZY493" s="106"/>
      <c r="AZZ493" s="106"/>
      <c r="BAA493" s="106"/>
      <c r="BAB493" s="106"/>
      <c r="BAC493" s="106"/>
      <c r="BAD493" s="106"/>
      <c r="BAE493" s="106"/>
      <c r="BAF493" s="106"/>
      <c r="BAG493" s="106"/>
      <c r="BAH493" s="106"/>
      <c r="BAI493" s="106"/>
      <c r="BAJ493" s="106"/>
      <c r="BAK493" s="106"/>
      <c r="BAL493" s="106"/>
      <c r="BAM493" s="106"/>
      <c r="BAN493" s="106"/>
      <c r="BAO493" s="106"/>
      <c r="BAP493" s="106"/>
      <c r="BAQ493" s="106"/>
      <c r="BAR493" s="106"/>
      <c r="BAS493" s="106"/>
      <c r="BAT493" s="106"/>
      <c r="BAU493" s="106"/>
      <c r="BAV493" s="106"/>
      <c r="BAW493" s="106"/>
      <c r="BAX493" s="106"/>
      <c r="BAY493" s="106"/>
      <c r="BAZ493" s="106"/>
      <c r="BBA493" s="106"/>
      <c r="BBB493" s="106"/>
      <c r="BBC493" s="106"/>
      <c r="BBD493" s="106"/>
      <c r="BBE493" s="106"/>
      <c r="BBF493" s="106"/>
      <c r="BBG493" s="106"/>
      <c r="BBH493" s="106"/>
      <c r="BBI493" s="106"/>
      <c r="BBJ493" s="106"/>
      <c r="BBK493" s="106"/>
      <c r="BBL493" s="106"/>
      <c r="BBM493" s="106"/>
      <c r="BBN493" s="106"/>
      <c r="BBO493" s="106"/>
      <c r="BBP493" s="106"/>
      <c r="BBQ493" s="106"/>
      <c r="BBR493" s="106"/>
      <c r="BBS493" s="106"/>
      <c r="BBT493" s="106"/>
      <c r="BBU493" s="106"/>
      <c r="BBV493" s="106"/>
      <c r="BBW493" s="106"/>
      <c r="BBX493" s="106"/>
      <c r="BBY493" s="106"/>
      <c r="BBZ493" s="106"/>
      <c r="BCA493" s="106"/>
      <c r="BCB493" s="106"/>
      <c r="BCC493" s="106"/>
      <c r="BCD493" s="106"/>
      <c r="BCE493" s="106"/>
      <c r="BCF493" s="106"/>
      <c r="BCG493" s="106"/>
      <c r="BCH493" s="106"/>
      <c r="BCI493" s="106"/>
      <c r="BCJ493" s="106"/>
      <c r="BCK493" s="106"/>
      <c r="BCL493" s="106"/>
      <c r="BCM493" s="106"/>
      <c r="BCN493" s="106"/>
      <c r="BCO493" s="106"/>
      <c r="BCP493" s="106"/>
      <c r="BCQ493" s="106"/>
      <c r="BCR493" s="106"/>
      <c r="BCS493" s="106"/>
      <c r="BCT493" s="106"/>
      <c r="BCU493" s="106"/>
      <c r="BCV493" s="106"/>
      <c r="BCW493" s="106"/>
      <c r="BCX493" s="106"/>
      <c r="BCY493" s="106"/>
      <c r="BCZ493" s="106"/>
      <c r="BDA493" s="106"/>
      <c r="BDB493" s="106"/>
      <c r="BDC493" s="106"/>
      <c r="BDD493" s="106"/>
      <c r="BDE493" s="106"/>
      <c r="BDF493" s="106"/>
      <c r="BDG493" s="106"/>
      <c r="BDH493" s="106"/>
      <c r="BDI493" s="106"/>
      <c r="BDJ493" s="106"/>
      <c r="BDK493" s="106"/>
      <c r="BDL493" s="106"/>
      <c r="BDM493" s="106"/>
      <c r="BDN493" s="106"/>
      <c r="BDO493" s="106"/>
      <c r="BDP493" s="106"/>
      <c r="BDQ493" s="106"/>
      <c r="BDR493" s="106"/>
      <c r="BDS493" s="106"/>
      <c r="BDT493" s="106"/>
      <c r="BDU493" s="106"/>
      <c r="BDV493" s="106"/>
      <c r="BDW493" s="106"/>
      <c r="BDX493" s="106"/>
      <c r="BDY493" s="106"/>
      <c r="BDZ493" s="106"/>
      <c r="BEA493" s="106"/>
      <c r="BEB493" s="106"/>
      <c r="BEC493" s="106"/>
      <c r="BED493" s="106"/>
      <c r="BEE493" s="106"/>
      <c r="BEF493" s="106"/>
      <c r="BEG493" s="106"/>
      <c r="BEH493" s="106"/>
      <c r="BEI493" s="106"/>
      <c r="BEJ493" s="106"/>
      <c r="BEK493" s="106"/>
      <c r="BEL493" s="106"/>
      <c r="BEM493" s="106"/>
      <c r="BEN493" s="106"/>
      <c r="BEO493" s="106"/>
      <c r="BEP493" s="106"/>
      <c r="BEQ493" s="106"/>
      <c r="BER493" s="106"/>
      <c r="BES493" s="106"/>
      <c r="BET493" s="106"/>
      <c r="BEU493" s="106"/>
      <c r="BEV493" s="106"/>
      <c r="BEW493" s="106"/>
      <c r="BEX493" s="106"/>
      <c r="BEY493" s="106"/>
      <c r="BEZ493" s="106"/>
      <c r="BFA493" s="106"/>
      <c r="BFB493" s="106"/>
      <c r="BFC493" s="106"/>
      <c r="BFD493" s="106"/>
      <c r="BFE493" s="106"/>
      <c r="BFF493" s="106"/>
      <c r="BFG493" s="106"/>
      <c r="BFH493" s="106"/>
      <c r="BFI493" s="106"/>
      <c r="BFJ493" s="106"/>
      <c r="BFK493" s="106"/>
      <c r="BFL493" s="106"/>
      <c r="BFM493" s="106"/>
      <c r="BFN493" s="106"/>
      <c r="BFO493" s="106"/>
      <c r="BFP493" s="106"/>
      <c r="BFQ493" s="106"/>
      <c r="BFR493" s="106"/>
      <c r="BFS493" s="106"/>
      <c r="BFT493" s="106"/>
      <c r="BFU493" s="106"/>
      <c r="BFV493" s="106"/>
      <c r="BFW493" s="106"/>
      <c r="BFX493" s="106"/>
      <c r="BFY493" s="106"/>
      <c r="BFZ493" s="106"/>
      <c r="BGA493" s="106"/>
      <c r="BGB493" s="106"/>
      <c r="BGC493" s="106"/>
      <c r="BGD493" s="106"/>
      <c r="BGE493" s="106"/>
      <c r="BGF493" s="106"/>
      <c r="BGG493" s="106"/>
      <c r="BGH493" s="106"/>
      <c r="BGI493" s="106"/>
      <c r="BGJ493" s="106"/>
      <c r="BGK493" s="106"/>
      <c r="BGL493" s="106"/>
      <c r="BGM493" s="106"/>
      <c r="BGN493" s="106"/>
      <c r="BGO493" s="106"/>
      <c r="BGP493" s="106"/>
      <c r="BGQ493" s="106"/>
      <c r="BGR493" s="106"/>
      <c r="BGS493" s="106"/>
      <c r="BGT493" s="106"/>
      <c r="BGU493" s="106"/>
      <c r="BGV493" s="106"/>
      <c r="BGW493" s="106"/>
      <c r="BGX493" s="106"/>
      <c r="BGY493" s="106"/>
      <c r="BGZ493" s="106"/>
      <c r="BHA493" s="106"/>
      <c r="BHB493" s="106"/>
      <c r="BHC493" s="106"/>
      <c r="BHD493" s="106"/>
      <c r="BHE493" s="106"/>
      <c r="BHF493" s="106"/>
      <c r="BHG493" s="106"/>
      <c r="BHH493" s="106"/>
      <c r="BHI493" s="106"/>
      <c r="BHJ493" s="106"/>
      <c r="BHK493" s="106"/>
      <c r="BHL493" s="106"/>
      <c r="BHM493" s="106"/>
      <c r="BHN493" s="106"/>
      <c r="BHO493" s="106"/>
      <c r="BHP493" s="106"/>
      <c r="BHQ493" s="106"/>
      <c r="BHR493" s="106"/>
      <c r="BHS493" s="106"/>
      <c r="BHT493" s="106"/>
      <c r="BHU493" s="106"/>
      <c r="BHV493" s="106"/>
      <c r="BHW493" s="106"/>
      <c r="BHX493" s="106"/>
      <c r="BHY493" s="106"/>
      <c r="BHZ493" s="106"/>
      <c r="BIA493" s="106"/>
      <c r="BIB493" s="106"/>
      <c r="BIC493" s="106"/>
      <c r="BID493" s="106"/>
      <c r="BIE493" s="106"/>
      <c r="BIF493" s="106"/>
      <c r="BIG493" s="106"/>
      <c r="BIH493" s="106"/>
      <c r="BII493" s="106"/>
      <c r="BIJ493" s="106"/>
      <c r="BIK493" s="106"/>
      <c r="BIL493" s="106"/>
      <c r="BIM493" s="106"/>
      <c r="BIN493" s="106"/>
      <c r="BIO493" s="106"/>
      <c r="BIP493" s="106"/>
      <c r="BIQ493" s="106"/>
      <c r="BIR493" s="106"/>
      <c r="BIS493" s="106"/>
      <c r="BIT493" s="106"/>
      <c r="BIU493" s="106"/>
      <c r="BIV493" s="106"/>
      <c r="BIW493" s="106"/>
      <c r="BIX493" s="106"/>
      <c r="BIY493" s="106"/>
      <c r="BIZ493" s="106"/>
      <c r="BJA493" s="106"/>
      <c r="BJB493" s="106"/>
      <c r="BJC493" s="106"/>
      <c r="BJD493" s="106"/>
      <c r="BJE493" s="106"/>
      <c r="BJF493" s="106"/>
      <c r="BJG493" s="106"/>
      <c r="BJH493" s="106"/>
      <c r="BJI493" s="106"/>
      <c r="BJJ493" s="106"/>
      <c r="BJK493" s="106"/>
      <c r="BJL493" s="106"/>
      <c r="BJM493" s="106"/>
      <c r="BJN493" s="106"/>
      <c r="BJO493" s="106"/>
      <c r="BJP493" s="106"/>
      <c r="BJQ493" s="106"/>
      <c r="BJR493" s="106"/>
      <c r="BJS493" s="106"/>
      <c r="BJT493" s="106"/>
      <c r="BJU493" s="106"/>
      <c r="BJV493" s="106"/>
      <c r="BJW493" s="106"/>
      <c r="BJX493" s="106"/>
      <c r="BJY493" s="106"/>
      <c r="BJZ493" s="106"/>
      <c r="BKA493" s="106"/>
      <c r="BKB493" s="106"/>
      <c r="BKC493" s="106"/>
      <c r="BKD493" s="106"/>
      <c r="BKE493" s="106"/>
      <c r="BKF493" s="106"/>
      <c r="BKG493" s="106"/>
      <c r="BKH493" s="106"/>
      <c r="BKI493" s="106"/>
      <c r="BKJ493" s="106"/>
      <c r="BKK493" s="106"/>
      <c r="BKL493" s="106"/>
      <c r="BKM493" s="106"/>
      <c r="BKN493" s="106"/>
      <c r="BKO493" s="106"/>
      <c r="BKP493" s="106"/>
      <c r="BKQ493" s="106"/>
      <c r="BKR493" s="106"/>
      <c r="BKS493" s="106"/>
      <c r="BKT493" s="106"/>
      <c r="BKU493" s="106"/>
      <c r="BKV493" s="106"/>
      <c r="BKW493" s="106"/>
      <c r="BKX493" s="106"/>
      <c r="BKY493" s="106"/>
      <c r="BKZ493" s="106"/>
      <c r="BLA493" s="106"/>
      <c r="BLB493" s="106"/>
      <c r="BLC493" s="106"/>
      <c r="BLD493" s="106"/>
      <c r="BLE493" s="106"/>
      <c r="BLF493" s="106"/>
      <c r="BLG493" s="106"/>
      <c r="BLH493" s="106"/>
      <c r="BLI493" s="106"/>
      <c r="BLJ493" s="106"/>
      <c r="BLK493" s="106"/>
      <c r="BLL493" s="106"/>
      <c r="BLM493" s="106"/>
      <c r="BLN493" s="106"/>
      <c r="BLO493" s="106"/>
      <c r="BLP493" s="106"/>
      <c r="BLQ493" s="106"/>
      <c r="BLR493" s="106"/>
      <c r="BLS493" s="106"/>
      <c r="BLT493" s="106"/>
      <c r="BLU493" s="106"/>
      <c r="BLV493" s="106"/>
      <c r="BLW493" s="106"/>
      <c r="BLX493" s="106"/>
      <c r="BLY493" s="106"/>
      <c r="BLZ493" s="106"/>
      <c r="BMA493" s="106"/>
      <c r="BMB493" s="106"/>
      <c r="BMC493" s="106"/>
      <c r="BMD493" s="106"/>
      <c r="BME493" s="106"/>
      <c r="BMF493" s="106"/>
      <c r="BMG493" s="106"/>
      <c r="BMH493" s="106"/>
      <c r="BMI493" s="106"/>
      <c r="BMJ493" s="106"/>
      <c r="BMK493" s="106"/>
      <c r="BML493" s="106"/>
      <c r="BMM493" s="106"/>
      <c r="BMN493" s="106"/>
      <c r="BMO493" s="106"/>
      <c r="BMP493" s="106"/>
      <c r="BMQ493" s="106"/>
      <c r="BMR493" s="106"/>
      <c r="BMS493" s="106"/>
      <c r="BMT493" s="106"/>
      <c r="BMU493" s="106"/>
      <c r="BMV493" s="106"/>
      <c r="BMW493" s="106"/>
      <c r="BMX493" s="106"/>
      <c r="BMY493" s="106"/>
      <c r="BMZ493" s="106"/>
      <c r="BNA493" s="106"/>
      <c r="BNB493" s="106"/>
      <c r="BNC493" s="106"/>
      <c r="BND493" s="106"/>
      <c r="BNE493" s="106"/>
      <c r="BNF493" s="106"/>
      <c r="BNG493" s="106"/>
      <c r="BNH493" s="106"/>
      <c r="BNI493" s="106"/>
      <c r="BNJ493" s="106"/>
      <c r="BNK493" s="106"/>
      <c r="BNL493" s="106"/>
      <c r="BNM493" s="106"/>
      <c r="BNN493" s="106"/>
      <c r="BNO493" s="106"/>
      <c r="BNP493" s="106"/>
      <c r="BNQ493" s="106"/>
      <c r="BNR493" s="106"/>
      <c r="BNS493" s="106"/>
      <c r="BNT493" s="106"/>
      <c r="BNU493" s="106"/>
      <c r="BNV493" s="106"/>
      <c r="BNW493" s="106"/>
      <c r="BNX493" s="106"/>
      <c r="BNY493" s="106"/>
      <c r="BNZ493" s="106"/>
      <c r="BOA493" s="106"/>
      <c r="BOB493" s="106"/>
      <c r="BOC493" s="106"/>
      <c r="BOD493" s="106"/>
      <c r="BOE493" s="106"/>
      <c r="BOF493" s="106"/>
      <c r="BOG493" s="106"/>
      <c r="BOH493" s="106"/>
      <c r="BOI493" s="106"/>
      <c r="BOJ493" s="106"/>
      <c r="BOK493" s="106"/>
      <c r="BOL493" s="106"/>
      <c r="BOM493" s="106"/>
      <c r="BON493" s="106"/>
      <c r="BOO493" s="106"/>
      <c r="BOP493" s="106"/>
      <c r="BOQ493" s="106"/>
      <c r="BOR493" s="106"/>
      <c r="BOS493" s="106"/>
      <c r="BOT493" s="106"/>
      <c r="BOU493" s="106"/>
      <c r="BOV493" s="106"/>
      <c r="BOW493" s="106"/>
      <c r="BOX493" s="106"/>
      <c r="BOY493" s="106"/>
      <c r="BOZ493" s="106"/>
      <c r="BPA493" s="106"/>
      <c r="BPB493" s="106"/>
      <c r="BPC493" s="106"/>
      <c r="BPD493" s="106"/>
      <c r="BPE493" s="106"/>
      <c r="BPF493" s="106"/>
      <c r="BPG493" s="106"/>
      <c r="BPH493" s="106"/>
      <c r="BPI493" s="106"/>
      <c r="BPJ493" s="106"/>
      <c r="BPK493" s="106"/>
      <c r="BPL493" s="106"/>
      <c r="BPM493" s="106"/>
      <c r="BPN493" s="106"/>
      <c r="BPO493" s="106"/>
      <c r="BPP493" s="106"/>
      <c r="BPQ493" s="106"/>
      <c r="BPR493" s="106"/>
      <c r="BPS493" s="106"/>
      <c r="BPT493" s="106"/>
      <c r="BPU493" s="106"/>
      <c r="BPV493" s="106"/>
      <c r="BPW493" s="106"/>
      <c r="BPX493" s="106"/>
      <c r="BPY493" s="106"/>
      <c r="BPZ493" s="106"/>
      <c r="BQA493" s="106"/>
      <c r="BQB493" s="106"/>
      <c r="BQC493" s="106"/>
      <c r="BQD493" s="106"/>
      <c r="BQE493" s="106"/>
      <c r="BQF493" s="106"/>
      <c r="BQG493" s="106"/>
      <c r="BQH493" s="106"/>
      <c r="BQI493" s="106"/>
      <c r="BQJ493" s="106"/>
      <c r="BQK493" s="106"/>
      <c r="BQL493" s="106"/>
      <c r="BQM493" s="106"/>
      <c r="BQN493" s="106"/>
      <c r="BQO493" s="106"/>
      <c r="BQP493" s="106"/>
      <c r="BQQ493" s="106"/>
      <c r="BQR493" s="106"/>
      <c r="BQS493" s="106"/>
      <c r="BQT493" s="106"/>
      <c r="BQU493" s="106"/>
      <c r="BQV493" s="106"/>
      <c r="BQW493" s="106"/>
      <c r="BQX493" s="106"/>
      <c r="BQY493" s="106"/>
      <c r="BQZ493" s="106"/>
      <c r="BRA493" s="106"/>
      <c r="BRB493" s="106"/>
      <c r="BRC493" s="106"/>
      <c r="BRD493" s="106"/>
      <c r="BRE493" s="106"/>
      <c r="BRF493" s="106"/>
      <c r="BRG493" s="106"/>
      <c r="BRH493" s="106"/>
      <c r="BRI493" s="106"/>
      <c r="BRJ493" s="106"/>
      <c r="BRK493" s="106"/>
      <c r="BRL493" s="106"/>
      <c r="BRM493" s="106"/>
      <c r="BRN493" s="106"/>
      <c r="BRO493" s="106"/>
      <c r="BRP493" s="106"/>
      <c r="BRQ493" s="106"/>
      <c r="BRR493" s="106"/>
      <c r="BRS493" s="106"/>
      <c r="BRT493" s="106"/>
      <c r="BRU493" s="106"/>
      <c r="BRV493" s="106"/>
      <c r="BRW493" s="106"/>
      <c r="BRX493" s="106"/>
      <c r="BRY493" s="106"/>
      <c r="BRZ493" s="106"/>
      <c r="BSA493" s="106"/>
      <c r="BSB493" s="106"/>
      <c r="BSC493" s="106"/>
      <c r="BSD493" s="106"/>
      <c r="BSE493" s="106"/>
      <c r="BSF493" s="106"/>
      <c r="BSG493" s="106"/>
      <c r="BSH493" s="106"/>
      <c r="BSI493" s="106"/>
      <c r="BSJ493" s="106"/>
      <c r="BSK493" s="106"/>
      <c r="BSL493" s="106"/>
      <c r="BSM493" s="106"/>
      <c r="BSN493" s="106"/>
      <c r="BSO493" s="106"/>
      <c r="BSP493" s="106"/>
      <c r="BSQ493" s="106"/>
      <c r="BSR493" s="106"/>
      <c r="BSS493" s="106"/>
      <c r="BST493" s="106"/>
      <c r="BSU493" s="106"/>
      <c r="BSV493" s="106"/>
      <c r="BSW493" s="106"/>
      <c r="BSX493" s="106"/>
      <c r="BSY493" s="106"/>
      <c r="BSZ493" s="106"/>
      <c r="BTA493" s="106"/>
      <c r="BTB493" s="106"/>
      <c r="BTC493" s="106"/>
      <c r="BTD493" s="106"/>
      <c r="BTE493" s="106"/>
      <c r="BTF493" s="106"/>
      <c r="BTG493" s="106"/>
      <c r="BTH493" s="106"/>
      <c r="BTI493" s="106"/>
      <c r="BTJ493" s="106"/>
      <c r="BTK493" s="106"/>
      <c r="BTL493" s="106"/>
      <c r="BTM493" s="106"/>
      <c r="BTN493" s="106"/>
      <c r="BTO493" s="106"/>
      <c r="BTP493" s="106"/>
      <c r="BTQ493" s="106"/>
      <c r="BTR493" s="106"/>
      <c r="BTS493" s="106"/>
      <c r="BTT493" s="106"/>
      <c r="BTU493" s="106"/>
      <c r="BTV493" s="106"/>
      <c r="BTW493" s="106"/>
      <c r="BTX493" s="106"/>
      <c r="BTY493" s="106"/>
      <c r="BTZ493" s="106"/>
      <c r="BUA493" s="106"/>
      <c r="BUB493" s="106"/>
      <c r="BUC493" s="106"/>
      <c r="BUD493" s="106"/>
      <c r="BUE493" s="106"/>
      <c r="BUF493" s="106"/>
      <c r="BUG493" s="106"/>
      <c r="BUH493" s="106"/>
      <c r="BUI493" s="106"/>
      <c r="BUJ493" s="106"/>
      <c r="BUK493" s="106"/>
      <c r="BUL493" s="106"/>
      <c r="BUM493" s="106"/>
      <c r="BUN493" s="106"/>
      <c r="BUO493" s="106"/>
      <c r="BUP493" s="106"/>
      <c r="BUQ493" s="106"/>
      <c r="BUR493" s="106"/>
      <c r="BUS493" s="106"/>
      <c r="BUT493" s="106"/>
      <c r="BUU493" s="106"/>
      <c r="BUV493" s="106"/>
      <c r="BUW493" s="106"/>
      <c r="BUX493" s="106"/>
      <c r="BUY493" s="106"/>
      <c r="BUZ493" s="106"/>
      <c r="BVA493" s="106"/>
      <c r="BVB493" s="106"/>
      <c r="BVC493" s="106"/>
      <c r="BVD493" s="106"/>
      <c r="BVE493" s="106"/>
      <c r="BVF493" s="106"/>
      <c r="BVG493" s="106"/>
      <c r="BVH493" s="106"/>
      <c r="BVI493" s="106"/>
      <c r="BVJ493" s="106"/>
      <c r="BVK493" s="106"/>
      <c r="BVL493" s="106"/>
      <c r="BVM493" s="106"/>
      <c r="BVN493" s="106"/>
      <c r="BVO493" s="106"/>
      <c r="BVP493" s="106"/>
      <c r="BVQ493" s="106"/>
      <c r="BVR493" s="106"/>
      <c r="BVS493" s="106"/>
      <c r="BVT493" s="106"/>
      <c r="BVU493" s="106"/>
      <c r="BVV493" s="106"/>
      <c r="BVW493" s="106"/>
      <c r="BVX493" s="106"/>
      <c r="BVY493" s="106"/>
      <c r="BVZ493" s="106"/>
      <c r="BWA493" s="106"/>
      <c r="BWB493" s="106"/>
      <c r="BWC493" s="106"/>
      <c r="BWD493" s="106"/>
      <c r="BWE493" s="106"/>
      <c r="BWF493" s="106"/>
      <c r="BWG493" s="106"/>
      <c r="BWH493" s="106"/>
      <c r="BWI493" s="106"/>
      <c r="BWJ493" s="106"/>
      <c r="BWK493" s="106"/>
      <c r="BWL493" s="106"/>
      <c r="BWM493" s="106"/>
      <c r="BWN493" s="106"/>
      <c r="BWO493" s="106"/>
      <c r="BWP493" s="106"/>
      <c r="BWQ493" s="106"/>
      <c r="BWR493" s="106"/>
      <c r="BWS493" s="106"/>
      <c r="BWT493" s="106"/>
      <c r="BWU493" s="106"/>
      <c r="BWV493" s="106"/>
      <c r="BWW493" s="106"/>
      <c r="BWX493" s="106"/>
      <c r="BWY493" s="106"/>
      <c r="BWZ493" s="106"/>
      <c r="BXA493" s="106"/>
      <c r="BXB493" s="106"/>
      <c r="BXC493" s="106"/>
      <c r="BXD493" s="106"/>
      <c r="BXE493" s="106"/>
      <c r="BXF493" s="106"/>
      <c r="BXG493" s="106"/>
      <c r="BXH493" s="106"/>
      <c r="BXI493" s="106"/>
      <c r="BXJ493" s="106"/>
      <c r="BXK493" s="106"/>
      <c r="BXL493" s="106"/>
      <c r="BXM493" s="106"/>
      <c r="BXN493" s="106"/>
      <c r="BXO493" s="106"/>
      <c r="BXP493" s="106"/>
      <c r="BXQ493" s="106"/>
      <c r="BXR493" s="106"/>
      <c r="BXS493" s="106"/>
      <c r="BXT493" s="106"/>
      <c r="BXU493" s="106"/>
      <c r="BXV493" s="106"/>
      <c r="BXW493" s="106"/>
      <c r="BXX493" s="106"/>
      <c r="BXY493" s="106"/>
      <c r="BXZ493" s="106"/>
      <c r="BYA493" s="106"/>
      <c r="BYB493" s="106"/>
      <c r="BYC493" s="106"/>
      <c r="BYD493" s="106"/>
      <c r="BYE493" s="106"/>
      <c r="BYF493" s="106"/>
      <c r="BYG493" s="106"/>
      <c r="BYH493" s="106"/>
      <c r="BYI493" s="106"/>
      <c r="BYJ493" s="106"/>
      <c r="BYK493" s="106"/>
      <c r="BYL493" s="106"/>
      <c r="BYM493" s="106"/>
      <c r="BYN493" s="106"/>
      <c r="BYO493" s="106"/>
      <c r="BYP493" s="106"/>
      <c r="BYQ493" s="106"/>
      <c r="BYR493" s="106"/>
      <c r="BYS493" s="106"/>
      <c r="BYT493" s="106"/>
      <c r="BYU493" s="106"/>
      <c r="BYV493" s="106"/>
      <c r="BYW493" s="106"/>
      <c r="BYX493" s="106"/>
      <c r="BYY493" s="106"/>
      <c r="BYZ493" s="106"/>
      <c r="BZA493" s="106"/>
      <c r="BZB493" s="106"/>
      <c r="BZC493" s="106"/>
      <c r="BZD493" s="106"/>
      <c r="BZE493" s="106"/>
      <c r="BZF493" s="106"/>
      <c r="BZG493" s="106"/>
      <c r="BZH493" s="106"/>
      <c r="BZI493" s="106"/>
      <c r="BZJ493" s="106"/>
      <c r="BZK493" s="106"/>
      <c r="BZL493" s="106"/>
      <c r="BZM493" s="106"/>
      <c r="BZN493" s="106"/>
      <c r="BZO493" s="106"/>
      <c r="BZP493" s="106"/>
      <c r="BZQ493" s="106"/>
      <c r="BZR493" s="106"/>
      <c r="BZS493" s="106"/>
      <c r="BZT493" s="106"/>
      <c r="BZU493" s="106"/>
      <c r="BZV493" s="106"/>
      <c r="BZW493" s="106"/>
      <c r="BZX493" s="106"/>
      <c r="BZY493" s="106"/>
      <c r="BZZ493" s="106"/>
      <c r="CAA493" s="106"/>
      <c r="CAB493" s="106"/>
      <c r="CAC493" s="106"/>
      <c r="CAD493" s="106"/>
      <c r="CAE493" s="106"/>
      <c r="CAF493" s="106"/>
      <c r="CAG493" s="106"/>
      <c r="CAH493" s="106"/>
      <c r="CAI493" s="106"/>
      <c r="CAJ493" s="106"/>
      <c r="CAK493" s="106"/>
      <c r="CAL493" s="106"/>
      <c r="CAM493" s="106"/>
      <c r="CAN493" s="106"/>
      <c r="CAO493" s="106"/>
      <c r="CAP493" s="106"/>
      <c r="CAQ493" s="106"/>
      <c r="CAR493" s="106"/>
      <c r="CAS493" s="106"/>
      <c r="CAT493" s="106"/>
      <c r="CAU493" s="106"/>
      <c r="CAV493" s="106"/>
      <c r="CAW493" s="106"/>
      <c r="CAX493" s="106"/>
      <c r="CAY493" s="106"/>
      <c r="CAZ493" s="106"/>
      <c r="CBA493" s="106"/>
      <c r="CBB493" s="106"/>
      <c r="CBC493" s="106"/>
      <c r="CBD493" s="106"/>
      <c r="CBE493" s="106"/>
      <c r="CBF493" s="106"/>
      <c r="CBG493" s="106"/>
      <c r="CBH493" s="106"/>
      <c r="CBI493" s="106"/>
      <c r="CBJ493" s="106"/>
      <c r="CBK493" s="106"/>
      <c r="CBL493" s="106"/>
      <c r="CBM493" s="106"/>
      <c r="CBN493" s="106"/>
      <c r="CBO493" s="106"/>
      <c r="CBP493" s="106"/>
      <c r="CBQ493" s="106"/>
      <c r="CBR493" s="106"/>
      <c r="CBS493" s="106"/>
      <c r="CBT493" s="106"/>
      <c r="CBU493" s="106"/>
      <c r="CBV493" s="106"/>
      <c r="CBW493" s="106"/>
      <c r="CBX493" s="106"/>
      <c r="CBY493" s="106"/>
      <c r="CBZ493" s="106"/>
      <c r="CCA493" s="106"/>
      <c r="CCB493" s="106"/>
      <c r="CCC493" s="106"/>
      <c r="CCD493" s="106"/>
      <c r="CCE493" s="106"/>
      <c r="CCF493" s="106"/>
      <c r="CCG493" s="106"/>
      <c r="CCH493" s="106"/>
      <c r="CCI493" s="106"/>
      <c r="CCJ493" s="106"/>
      <c r="CCK493" s="106"/>
      <c r="CCL493" s="106"/>
      <c r="CCM493" s="106"/>
      <c r="CCN493" s="106"/>
      <c r="CCO493" s="106"/>
      <c r="CCP493" s="106"/>
      <c r="CCQ493" s="106"/>
      <c r="CCR493" s="106"/>
      <c r="CCS493" s="106"/>
      <c r="CCT493" s="106"/>
      <c r="CCU493" s="106"/>
      <c r="CCV493" s="106"/>
      <c r="CCW493" s="106"/>
      <c r="CCX493" s="106"/>
      <c r="CCY493" s="106"/>
      <c r="CCZ493" s="106"/>
      <c r="CDA493" s="106"/>
      <c r="CDB493" s="106"/>
      <c r="CDC493" s="106"/>
      <c r="CDD493" s="106"/>
      <c r="CDE493" s="106"/>
      <c r="CDF493" s="106"/>
      <c r="CDG493" s="106"/>
      <c r="CDH493" s="106"/>
      <c r="CDI493" s="106"/>
      <c r="CDJ493" s="106"/>
      <c r="CDK493" s="106"/>
      <c r="CDL493" s="106"/>
      <c r="CDM493" s="106"/>
      <c r="CDN493" s="106"/>
      <c r="CDO493" s="106"/>
      <c r="CDP493" s="106"/>
      <c r="CDQ493" s="106"/>
      <c r="CDR493" s="106"/>
      <c r="CDS493" s="106"/>
      <c r="CDT493" s="106"/>
      <c r="CDU493" s="106"/>
      <c r="CDV493" s="106"/>
      <c r="CDW493" s="106"/>
      <c r="CDX493" s="106"/>
      <c r="CDY493" s="106"/>
      <c r="CDZ493" s="106"/>
      <c r="CEA493" s="106"/>
      <c r="CEB493" s="106"/>
      <c r="CEC493" s="106"/>
      <c r="CED493" s="106"/>
      <c r="CEE493" s="106"/>
      <c r="CEF493" s="106"/>
      <c r="CEG493" s="106"/>
      <c r="CEH493" s="106"/>
      <c r="CEI493" s="106"/>
      <c r="CEJ493" s="106"/>
      <c r="CEK493" s="106"/>
      <c r="CEL493" s="106"/>
      <c r="CEM493" s="106"/>
      <c r="CEN493" s="106"/>
      <c r="CEO493" s="106"/>
      <c r="CEP493" s="106"/>
      <c r="CEQ493" s="106"/>
      <c r="CER493" s="106"/>
      <c r="CES493" s="106"/>
      <c r="CET493" s="106"/>
      <c r="CEU493" s="106"/>
      <c r="CEV493" s="106"/>
      <c r="CEW493" s="106"/>
      <c r="CEX493" s="106"/>
      <c r="CEY493" s="106"/>
      <c r="CEZ493" s="106"/>
      <c r="CFA493" s="106"/>
      <c r="CFB493" s="106"/>
      <c r="CFC493" s="106"/>
      <c r="CFD493" s="106"/>
      <c r="CFE493" s="106"/>
      <c r="CFF493" s="106"/>
      <c r="CFG493" s="106"/>
      <c r="CFH493" s="106"/>
      <c r="CFI493" s="106"/>
      <c r="CFJ493" s="106"/>
      <c r="CFK493" s="106"/>
      <c r="CFL493" s="106"/>
      <c r="CFM493" s="106"/>
      <c r="CFN493" s="106"/>
      <c r="CFO493" s="106"/>
      <c r="CFP493" s="106"/>
      <c r="CFQ493" s="106"/>
      <c r="CFR493" s="106"/>
      <c r="CFS493" s="106"/>
      <c r="CFT493" s="106"/>
      <c r="CFU493" s="106"/>
      <c r="CFV493" s="106"/>
      <c r="CFW493" s="106"/>
      <c r="CFX493" s="106"/>
      <c r="CFY493" s="106"/>
      <c r="CFZ493" s="106"/>
      <c r="CGA493" s="106"/>
      <c r="CGB493" s="106"/>
      <c r="CGC493" s="106"/>
      <c r="CGD493" s="106"/>
      <c r="CGE493" s="106"/>
      <c r="CGF493" s="106"/>
      <c r="CGG493" s="106"/>
      <c r="CGH493" s="106"/>
      <c r="CGI493" s="106"/>
      <c r="CGJ493" s="106"/>
      <c r="CGK493" s="106"/>
      <c r="CGL493" s="106"/>
      <c r="CGM493" s="106"/>
      <c r="CGN493" s="106"/>
      <c r="CGO493" s="106"/>
      <c r="CGP493" s="106"/>
      <c r="CGQ493" s="106"/>
      <c r="CGR493" s="106"/>
      <c r="CGS493" s="106"/>
      <c r="CGT493" s="106"/>
      <c r="CGU493" s="106"/>
      <c r="CGV493" s="106"/>
      <c r="CGW493" s="106"/>
      <c r="CGX493" s="106"/>
      <c r="CGY493" s="106"/>
      <c r="CGZ493" s="106"/>
      <c r="CHA493" s="106"/>
      <c r="CHB493" s="106"/>
      <c r="CHC493" s="106"/>
      <c r="CHD493" s="106"/>
      <c r="CHE493" s="106"/>
      <c r="CHF493" s="106"/>
      <c r="CHG493" s="106"/>
      <c r="CHH493" s="106"/>
      <c r="CHI493" s="106"/>
      <c r="CHJ493" s="106"/>
      <c r="CHK493" s="106"/>
      <c r="CHL493" s="106"/>
      <c r="CHM493" s="106"/>
      <c r="CHN493" s="106"/>
      <c r="CHO493" s="106"/>
      <c r="CHP493" s="106"/>
      <c r="CHQ493" s="106"/>
      <c r="CHR493" s="106"/>
      <c r="CHS493" s="106"/>
      <c r="CHT493" s="106"/>
      <c r="CHU493" s="106"/>
      <c r="CHV493" s="106"/>
      <c r="CHW493" s="106"/>
      <c r="CHX493" s="106"/>
      <c r="CHY493" s="106"/>
      <c r="CHZ493" s="106"/>
      <c r="CIA493" s="106"/>
      <c r="CIB493" s="106"/>
      <c r="CIC493" s="106"/>
      <c r="CID493" s="106"/>
      <c r="CIE493" s="106"/>
      <c r="CIF493" s="106"/>
      <c r="CIG493" s="106"/>
      <c r="CIH493" s="106"/>
      <c r="CII493" s="106"/>
      <c r="CIJ493" s="106"/>
      <c r="CIK493" s="106"/>
      <c r="CIL493" s="106"/>
      <c r="CIM493" s="106"/>
      <c r="CIN493" s="106"/>
      <c r="CIO493" s="106"/>
      <c r="CIP493" s="106"/>
      <c r="CIQ493" s="106"/>
      <c r="CIR493" s="106"/>
      <c r="CIS493" s="106"/>
      <c r="CIT493" s="106"/>
      <c r="CIU493" s="106"/>
      <c r="CIV493" s="106"/>
      <c r="CIW493" s="106"/>
      <c r="CIX493" s="106"/>
      <c r="CIY493" s="106"/>
      <c r="CIZ493" s="106"/>
      <c r="CJA493" s="106"/>
      <c r="CJB493" s="106"/>
      <c r="CJC493" s="106"/>
      <c r="CJD493" s="106"/>
      <c r="CJE493" s="106"/>
      <c r="CJF493" s="106"/>
      <c r="CJG493" s="106"/>
      <c r="CJH493" s="106"/>
      <c r="CJI493" s="106"/>
      <c r="CJJ493" s="106"/>
      <c r="CJK493" s="106"/>
      <c r="CJL493" s="106"/>
      <c r="CJM493" s="106"/>
      <c r="CJN493" s="106"/>
      <c r="CJO493" s="106"/>
      <c r="CJP493" s="106"/>
      <c r="CJQ493" s="106"/>
      <c r="CJR493" s="106"/>
      <c r="CJS493" s="106"/>
      <c r="CJT493" s="106"/>
      <c r="CJU493" s="106"/>
      <c r="CJV493" s="106"/>
      <c r="CJW493" s="106"/>
      <c r="CJX493" s="106"/>
      <c r="CJY493" s="106"/>
      <c r="CJZ493" s="106"/>
      <c r="CKA493" s="106"/>
      <c r="CKB493" s="106"/>
      <c r="CKC493" s="106"/>
      <c r="CKD493" s="106"/>
      <c r="CKE493" s="106"/>
      <c r="CKF493" s="106"/>
      <c r="CKG493" s="106"/>
      <c r="CKH493" s="106"/>
      <c r="CKI493" s="106"/>
      <c r="CKJ493" s="106"/>
      <c r="CKK493" s="106"/>
      <c r="CKL493" s="106"/>
      <c r="CKM493" s="106"/>
      <c r="CKN493" s="106"/>
      <c r="CKO493" s="106"/>
      <c r="CKP493" s="106"/>
      <c r="CKQ493" s="106"/>
      <c r="CKR493" s="106"/>
      <c r="CKS493" s="106"/>
      <c r="CKT493" s="106"/>
      <c r="CKU493" s="106"/>
      <c r="CKV493" s="106"/>
      <c r="CKW493" s="106"/>
      <c r="CKX493" s="106"/>
      <c r="CKY493" s="106"/>
      <c r="CKZ493" s="106"/>
      <c r="CLA493" s="106"/>
      <c r="CLB493" s="106"/>
      <c r="CLC493" s="106"/>
      <c r="CLD493" s="106"/>
      <c r="CLE493" s="106"/>
      <c r="CLF493" s="106"/>
      <c r="CLG493" s="106"/>
      <c r="CLH493" s="106"/>
      <c r="CLI493" s="106"/>
      <c r="CLJ493" s="106"/>
      <c r="CLK493" s="106"/>
      <c r="CLL493" s="106"/>
      <c r="CLM493" s="106"/>
      <c r="CLN493" s="106"/>
      <c r="CLO493" s="106"/>
      <c r="CLP493" s="106"/>
      <c r="CLQ493" s="106"/>
      <c r="CLR493" s="106"/>
      <c r="CLS493" s="106"/>
      <c r="CLT493" s="106"/>
      <c r="CLU493" s="106"/>
      <c r="CLV493" s="106"/>
      <c r="CLW493" s="106"/>
      <c r="CLX493" s="106"/>
      <c r="CLY493" s="106"/>
      <c r="CLZ493" s="106"/>
      <c r="CMA493" s="106"/>
      <c r="CMB493" s="106"/>
      <c r="CMC493" s="106"/>
      <c r="CMD493" s="106"/>
      <c r="CME493" s="106"/>
      <c r="CMF493" s="106"/>
      <c r="CMG493" s="106"/>
      <c r="CMH493" s="106"/>
      <c r="CMI493" s="106"/>
      <c r="CMJ493" s="106"/>
      <c r="CMK493" s="106"/>
      <c r="CML493" s="106"/>
      <c r="CMM493" s="106"/>
      <c r="CMN493" s="106"/>
      <c r="CMO493" s="106"/>
      <c r="CMP493" s="106"/>
      <c r="CMQ493" s="106"/>
      <c r="CMR493" s="106"/>
      <c r="CMS493" s="106"/>
      <c r="CMT493" s="106"/>
      <c r="CMU493" s="106"/>
      <c r="CMV493" s="106"/>
      <c r="CMW493" s="106"/>
      <c r="CMX493" s="106"/>
      <c r="CMY493" s="106"/>
      <c r="CMZ493" s="106"/>
      <c r="CNA493" s="106"/>
      <c r="CNB493" s="106"/>
      <c r="CNC493" s="106"/>
      <c r="CND493" s="106"/>
      <c r="CNE493" s="106"/>
      <c r="CNF493" s="106"/>
      <c r="CNG493" s="106"/>
      <c r="CNH493" s="106"/>
      <c r="CNI493" s="106"/>
      <c r="CNJ493" s="106"/>
      <c r="CNK493" s="106"/>
      <c r="CNL493" s="106"/>
      <c r="CNM493" s="106"/>
      <c r="CNN493" s="106"/>
      <c r="CNO493" s="106"/>
      <c r="CNP493" s="106"/>
      <c r="CNQ493" s="106"/>
      <c r="CNR493" s="106"/>
      <c r="CNS493" s="106"/>
      <c r="CNT493" s="106"/>
      <c r="CNU493" s="106"/>
      <c r="CNV493" s="106"/>
      <c r="CNW493" s="106"/>
      <c r="CNX493" s="106"/>
      <c r="CNY493" s="106"/>
      <c r="CNZ493" s="106"/>
      <c r="COA493" s="106"/>
      <c r="COB493" s="106"/>
      <c r="COC493" s="106"/>
      <c r="COD493" s="106"/>
      <c r="COE493" s="106"/>
      <c r="COF493" s="106"/>
      <c r="COG493" s="106"/>
      <c r="COH493" s="106"/>
      <c r="COI493" s="106"/>
      <c r="COJ493" s="106"/>
      <c r="COK493" s="106"/>
      <c r="COL493" s="106"/>
      <c r="COM493" s="106"/>
      <c r="CON493" s="106"/>
      <c r="COO493" s="106"/>
      <c r="COP493" s="106"/>
      <c r="COQ493" s="106"/>
      <c r="COR493" s="106"/>
      <c r="COS493" s="106"/>
      <c r="COT493" s="106"/>
      <c r="COU493" s="106"/>
      <c r="COV493" s="106"/>
      <c r="COW493" s="106"/>
      <c r="COX493" s="106"/>
      <c r="COY493" s="106"/>
      <c r="COZ493" s="106"/>
      <c r="CPA493" s="106"/>
      <c r="CPB493" s="106"/>
      <c r="CPC493" s="106"/>
      <c r="CPD493" s="106"/>
      <c r="CPE493" s="106"/>
      <c r="CPF493" s="106"/>
      <c r="CPG493" s="106"/>
      <c r="CPH493" s="106"/>
      <c r="CPI493" s="106"/>
      <c r="CPJ493" s="106"/>
      <c r="CPK493" s="106"/>
      <c r="CPL493" s="106"/>
      <c r="CPM493" s="106"/>
      <c r="CPN493" s="106"/>
      <c r="CPO493" s="106"/>
      <c r="CPP493" s="106"/>
      <c r="CPQ493" s="106"/>
      <c r="CPR493" s="106"/>
      <c r="CPS493" s="106"/>
      <c r="CPT493" s="106"/>
      <c r="CPU493" s="106"/>
      <c r="CPV493" s="106"/>
      <c r="CPW493" s="106"/>
      <c r="CPX493" s="106"/>
      <c r="CPY493" s="106"/>
      <c r="CPZ493" s="106"/>
      <c r="CQA493" s="106"/>
      <c r="CQB493" s="106"/>
      <c r="CQC493" s="106"/>
      <c r="CQD493" s="106"/>
      <c r="CQE493" s="106"/>
      <c r="CQF493" s="106"/>
      <c r="CQG493" s="106"/>
      <c r="CQH493" s="106"/>
      <c r="CQI493" s="106"/>
      <c r="CQJ493" s="106"/>
      <c r="CQK493" s="106"/>
      <c r="CQL493" s="106"/>
      <c r="CQM493" s="106"/>
      <c r="CQN493" s="106"/>
      <c r="CQO493" s="106"/>
      <c r="CQP493" s="106"/>
      <c r="CQQ493" s="106"/>
      <c r="CQR493" s="106"/>
      <c r="CQS493" s="106"/>
      <c r="CQT493" s="106"/>
      <c r="CQU493" s="106"/>
      <c r="CQV493" s="106"/>
      <c r="CQW493" s="106"/>
      <c r="CQX493" s="106"/>
      <c r="CQY493" s="106"/>
      <c r="CQZ493" s="106"/>
      <c r="CRA493" s="106"/>
      <c r="CRB493" s="106"/>
      <c r="CRC493" s="106"/>
      <c r="CRD493" s="106"/>
      <c r="CRE493" s="106"/>
      <c r="CRF493" s="106"/>
      <c r="CRG493" s="106"/>
      <c r="CRH493" s="106"/>
      <c r="CRI493" s="106"/>
      <c r="CRJ493" s="106"/>
      <c r="CRK493" s="106"/>
      <c r="CRL493" s="106"/>
      <c r="CRM493" s="106"/>
      <c r="CRN493" s="106"/>
      <c r="CRO493" s="106"/>
      <c r="CRP493" s="106"/>
      <c r="CRQ493" s="106"/>
      <c r="CRR493" s="106"/>
      <c r="CRS493" s="106"/>
      <c r="CRT493" s="106"/>
      <c r="CRU493" s="106"/>
      <c r="CRV493" s="106"/>
      <c r="CRW493" s="106"/>
      <c r="CRX493" s="106"/>
      <c r="CRY493" s="106"/>
      <c r="CRZ493" s="106"/>
      <c r="CSA493" s="106"/>
      <c r="CSB493" s="106"/>
      <c r="CSC493" s="106"/>
      <c r="CSD493" s="106"/>
      <c r="CSE493" s="106"/>
      <c r="CSF493" s="106"/>
      <c r="CSG493" s="106"/>
      <c r="CSH493" s="106"/>
      <c r="CSI493" s="106"/>
      <c r="CSJ493" s="106"/>
      <c r="CSK493" s="106"/>
      <c r="CSL493" s="106"/>
      <c r="CSM493" s="106"/>
      <c r="CSN493" s="106"/>
      <c r="CSO493" s="106"/>
      <c r="CSP493" s="106"/>
      <c r="CSQ493" s="106"/>
      <c r="CSR493" s="106"/>
      <c r="CSS493" s="106"/>
      <c r="CST493" s="106"/>
      <c r="CSU493" s="106"/>
      <c r="CSV493" s="106"/>
      <c r="CSW493" s="106"/>
      <c r="CSX493" s="106"/>
      <c r="CSY493" s="106"/>
      <c r="CSZ493" s="106"/>
      <c r="CTA493" s="106"/>
      <c r="CTB493" s="106"/>
      <c r="CTC493" s="106"/>
      <c r="CTD493" s="106"/>
      <c r="CTE493" s="106"/>
      <c r="CTF493" s="106"/>
      <c r="CTG493" s="106"/>
      <c r="CTH493" s="106"/>
      <c r="CTI493" s="106"/>
      <c r="CTJ493" s="106"/>
      <c r="CTK493" s="106"/>
      <c r="CTL493" s="106"/>
      <c r="CTM493" s="106"/>
      <c r="CTN493" s="106"/>
      <c r="CTO493" s="106"/>
      <c r="CTP493" s="106"/>
      <c r="CTQ493" s="106"/>
      <c r="CTR493" s="106"/>
      <c r="CTS493" s="106"/>
      <c r="CTT493" s="106"/>
      <c r="CTU493" s="106"/>
      <c r="CTV493" s="106"/>
      <c r="CTW493" s="106"/>
      <c r="CTX493" s="106"/>
      <c r="CTY493" s="106"/>
      <c r="CTZ493" s="106"/>
      <c r="CUA493" s="106"/>
      <c r="CUB493" s="106"/>
      <c r="CUC493" s="106"/>
      <c r="CUD493" s="106"/>
      <c r="CUE493" s="106"/>
      <c r="CUF493" s="106"/>
      <c r="CUG493" s="106"/>
      <c r="CUH493" s="106"/>
      <c r="CUI493" s="106"/>
      <c r="CUJ493" s="106"/>
      <c r="CUK493" s="106"/>
      <c r="CUL493" s="106"/>
      <c r="CUM493" s="106"/>
      <c r="CUN493" s="106"/>
      <c r="CUO493" s="106"/>
      <c r="CUP493" s="106"/>
      <c r="CUQ493" s="106"/>
      <c r="CUR493" s="106"/>
      <c r="CUS493" s="106"/>
      <c r="CUT493" s="106"/>
      <c r="CUU493" s="106"/>
      <c r="CUV493" s="106"/>
      <c r="CUW493" s="106"/>
      <c r="CUX493" s="106"/>
      <c r="CUY493" s="106"/>
      <c r="CUZ493" s="106"/>
      <c r="CVA493" s="106"/>
      <c r="CVB493" s="106"/>
      <c r="CVC493" s="106"/>
      <c r="CVD493" s="106"/>
      <c r="CVE493" s="106"/>
      <c r="CVF493" s="106"/>
      <c r="CVG493" s="106"/>
      <c r="CVH493" s="106"/>
      <c r="CVI493" s="106"/>
      <c r="CVJ493" s="106"/>
      <c r="CVK493" s="106"/>
      <c r="CVL493" s="106"/>
      <c r="CVM493" s="106"/>
      <c r="CVN493" s="106"/>
      <c r="CVO493" s="106"/>
      <c r="CVP493" s="106"/>
      <c r="CVQ493" s="106"/>
      <c r="CVR493" s="106"/>
      <c r="CVS493" s="106"/>
      <c r="CVT493" s="106"/>
      <c r="CVU493" s="106"/>
      <c r="CVV493" s="106"/>
      <c r="CVW493" s="106"/>
      <c r="CVX493" s="106"/>
      <c r="CVY493" s="106"/>
      <c r="CVZ493" s="106"/>
      <c r="CWA493" s="106"/>
      <c r="CWB493" s="106"/>
      <c r="CWC493" s="106"/>
      <c r="CWD493" s="106"/>
      <c r="CWE493" s="106"/>
      <c r="CWF493" s="106"/>
      <c r="CWG493" s="106"/>
      <c r="CWH493" s="106"/>
      <c r="CWI493" s="106"/>
      <c r="CWJ493" s="106"/>
      <c r="CWK493" s="106"/>
      <c r="CWL493" s="106"/>
      <c r="CWM493" s="106"/>
      <c r="CWN493" s="106"/>
      <c r="CWO493" s="106"/>
      <c r="CWP493" s="106"/>
      <c r="CWQ493" s="106"/>
      <c r="CWR493" s="106"/>
      <c r="CWS493" s="106"/>
      <c r="CWT493" s="106"/>
      <c r="CWU493" s="106"/>
      <c r="CWV493" s="106"/>
      <c r="CWW493" s="106"/>
      <c r="CWX493" s="106"/>
      <c r="CWY493" s="106"/>
      <c r="CWZ493" s="106"/>
      <c r="CXA493" s="106"/>
      <c r="CXB493" s="106"/>
      <c r="CXC493" s="106"/>
      <c r="CXD493" s="106"/>
      <c r="CXE493" s="106"/>
      <c r="CXF493" s="106"/>
      <c r="CXG493" s="106"/>
      <c r="CXH493" s="106"/>
      <c r="CXI493" s="106"/>
      <c r="CXJ493" s="106"/>
      <c r="CXK493" s="106"/>
      <c r="CXL493" s="106"/>
      <c r="CXM493" s="106"/>
      <c r="CXN493" s="106"/>
      <c r="CXO493" s="106"/>
      <c r="CXP493" s="106"/>
      <c r="CXQ493" s="106"/>
      <c r="CXR493" s="106"/>
      <c r="CXS493" s="106"/>
      <c r="CXT493" s="106"/>
      <c r="CXU493" s="106"/>
      <c r="CXV493" s="106"/>
      <c r="CXW493" s="106"/>
      <c r="CXX493" s="106"/>
      <c r="CXY493" s="106"/>
      <c r="CXZ493" s="106"/>
      <c r="CYA493" s="106"/>
      <c r="CYB493" s="106"/>
      <c r="CYC493" s="106"/>
      <c r="CYD493" s="106"/>
      <c r="CYE493" s="106"/>
      <c r="CYF493" s="106"/>
      <c r="CYG493" s="106"/>
      <c r="CYH493" s="106"/>
      <c r="CYI493" s="106"/>
      <c r="CYJ493" s="106"/>
      <c r="CYK493" s="106"/>
      <c r="CYL493" s="106"/>
      <c r="CYM493" s="106"/>
      <c r="CYN493" s="106"/>
      <c r="CYO493" s="106"/>
      <c r="CYP493" s="106"/>
      <c r="CYQ493" s="106"/>
      <c r="CYR493" s="106"/>
      <c r="CYS493" s="106"/>
      <c r="CYT493" s="106"/>
      <c r="CYU493" s="106"/>
      <c r="CYV493" s="106"/>
      <c r="CYW493" s="106"/>
      <c r="CYX493" s="106"/>
      <c r="CYY493" s="106"/>
      <c r="CYZ493" s="106"/>
      <c r="CZA493" s="106"/>
      <c r="CZB493" s="106"/>
      <c r="CZC493" s="106"/>
      <c r="CZD493" s="106"/>
      <c r="CZE493" s="106"/>
      <c r="CZF493" s="106"/>
      <c r="CZG493" s="106"/>
      <c r="CZH493" s="106"/>
      <c r="CZI493" s="106"/>
      <c r="CZJ493" s="106"/>
      <c r="CZK493" s="106"/>
      <c r="CZL493" s="106"/>
      <c r="CZM493" s="106"/>
      <c r="CZN493" s="106"/>
      <c r="CZO493" s="106"/>
      <c r="CZP493" s="106"/>
      <c r="CZQ493" s="106"/>
      <c r="CZR493" s="106"/>
      <c r="CZS493" s="106"/>
      <c r="CZT493" s="106"/>
      <c r="CZU493" s="106"/>
      <c r="CZV493" s="106"/>
      <c r="CZW493" s="106"/>
      <c r="CZX493" s="106"/>
      <c r="CZY493" s="106"/>
      <c r="CZZ493" s="106"/>
      <c r="DAA493" s="106"/>
      <c r="DAB493" s="106"/>
      <c r="DAC493" s="106"/>
      <c r="DAD493" s="106"/>
      <c r="DAE493" s="106"/>
      <c r="DAF493" s="106"/>
      <c r="DAG493" s="106"/>
      <c r="DAH493" s="106"/>
      <c r="DAI493" s="106"/>
      <c r="DAJ493" s="106"/>
      <c r="DAK493" s="106"/>
      <c r="DAL493" s="106"/>
      <c r="DAM493" s="106"/>
      <c r="DAN493" s="106"/>
      <c r="DAO493" s="106"/>
      <c r="DAP493" s="106"/>
      <c r="DAQ493" s="106"/>
      <c r="DAR493" s="106"/>
      <c r="DAS493" s="106"/>
      <c r="DAT493" s="106"/>
      <c r="DAU493" s="106"/>
      <c r="DAV493" s="106"/>
      <c r="DAW493" s="106"/>
      <c r="DAX493" s="106"/>
      <c r="DAY493" s="106"/>
      <c r="DAZ493" s="106"/>
      <c r="DBA493" s="106"/>
      <c r="DBB493" s="106"/>
      <c r="DBC493" s="106"/>
      <c r="DBD493" s="106"/>
      <c r="DBE493" s="106"/>
      <c r="DBF493" s="106"/>
      <c r="DBG493" s="106"/>
      <c r="DBH493" s="106"/>
      <c r="DBI493" s="106"/>
      <c r="DBJ493" s="106"/>
      <c r="DBK493" s="106"/>
      <c r="DBL493" s="106"/>
      <c r="DBM493" s="106"/>
      <c r="DBN493" s="106"/>
      <c r="DBO493" s="106"/>
      <c r="DBP493" s="106"/>
      <c r="DBQ493" s="106"/>
      <c r="DBR493" s="106"/>
      <c r="DBS493" s="106"/>
      <c r="DBT493" s="106"/>
      <c r="DBU493" s="106"/>
      <c r="DBV493" s="106"/>
      <c r="DBW493" s="106"/>
      <c r="DBX493" s="106"/>
      <c r="DBY493" s="106"/>
      <c r="DBZ493" s="106"/>
      <c r="DCA493" s="106"/>
      <c r="DCB493" s="106"/>
      <c r="DCC493" s="106"/>
      <c r="DCD493" s="106"/>
      <c r="DCE493" s="106"/>
      <c r="DCF493" s="106"/>
      <c r="DCG493" s="106"/>
      <c r="DCH493" s="106"/>
      <c r="DCI493" s="106"/>
      <c r="DCJ493" s="106"/>
      <c r="DCK493" s="106"/>
      <c r="DCL493" s="106"/>
      <c r="DCM493" s="106"/>
      <c r="DCN493" s="106"/>
      <c r="DCO493" s="106"/>
      <c r="DCP493" s="106"/>
      <c r="DCQ493" s="106"/>
      <c r="DCR493" s="106"/>
      <c r="DCS493" s="106"/>
      <c r="DCT493" s="106"/>
      <c r="DCU493" s="106"/>
      <c r="DCV493" s="106"/>
      <c r="DCW493" s="106"/>
      <c r="DCX493" s="106"/>
      <c r="DCY493" s="106"/>
      <c r="DCZ493" s="106"/>
      <c r="DDA493" s="106"/>
      <c r="DDB493" s="106"/>
      <c r="DDC493" s="106"/>
      <c r="DDD493" s="106"/>
      <c r="DDE493" s="106"/>
      <c r="DDF493" s="106"/>
      <c r="DDG493" s="106"/>
      <c r="DDH493" s="106"/>
      <c r="DDI493" s="106"/>
      <c r="DDJ493" s="106"/>
      <c r="DDK493" s="106"/>
      <c r="DDL493" s="106"/>
      <c r="DDM493" s="106"/>
      <c r="DDN493" s="106"/>
      <c r="DDO493" s="106"/>
      <c r="DDP493" s="106"/>
      <c r="DDQ493" s="106"/>
      <c r="DDR493" s="106"/>
      <c r="DDS493" s="106"/>
      <c r="DDT493" s="106"/>
      <c r="DDU493" s="106"/>
      <c r="DDV493" s="106"/>
      <c r="DDW493" s="106"/>
      <c r="DDX493" s="106"/>
      <c r="DDY493" s="106"/>
      <c r="DDZ493" s="106"/>
      <c r="DEA493" s="106"/>
      <c r="DEB493" s="106"/>
      <c r="DEC493" s="106"/>
      <c r="DED493" s="106"/>
      <c r="DEE493" s="106"/>
      <c r="DEF493" s="106"/>
      <c r="DEG493" s="106"/>
      <c r="DEH493" s="106"/>
      <c r="DEI493" s="106"/>
      <c r="DEJ493" s="106"/>
      <c r="DEK493" s="106"/>
      <c r="DEL493" s="106"/>
      <c r="DEM493" s="106"/>
      <c r="DEN493" s="106"/>
      <c r="DEO493" s="106"/>
      <c r="DEP493" s="106"/>
      <c r="DEQ493" s="106"/>
      <c r="DER493" s="106"/>
      <c r="DES493" s="106"/>
      <c r="DET493" s="106"/>
      <c r="DEU493" s="106"/>
      <c r="DEV493" s="106"/>
      <c r="DEW493" s="106"/>
      <c r="DEX493" s="106"/>
      <c r="DEY493" s="106"/>
      <c r="DEZ493" s="106"/>
      <c r="DFA493" s="106"/>
      <c r="DFB493" s="106"/>
      <c r="DFC493" s="106"/>
      <c r="DFD493" s="106"/>
      <c r="DFE493" s="106"/>
      <c r="DFF493" s="106"/>
      <c r="DFG493" s="106"/>
      <c r="DFH493" s="106"/>
      <c r="DFI493" s="106"/>
      <c r="DFJ493" s="106"/>
      <c r="DFK493" s="106"/>
      <c r="DFL493" s="106"/>
      <c r="DFM493" s="106"/>
      <c r="DFN493" s="106"/>
      <c r="DFO493" s="106"/>
      <c r="DFP493" s="106"/>
      <c r="DFQ493" s="106"/>
      <c r="DFR493" s="106"/>
      <c r="DFS493" s="106"/>
      <c r="DFT493" s="106"/>
      <c r="DFU493" s="106"/>
      <c r="DFV493" s="106"/>
      <c r="DFW493" s="106"/>
      <c r="DFX493" s="106"/>
      <c r="DFY493" s="106"/>
      <c r="DFZ493" s="106"/>
      <c r="DGA493" s="106"/>
      <c r="DGB493" s="106"/>
      <c r="DGC493" s="106"/>
      <c r="DGD493" s="106"/>
      <c r="DGE493" s="106"/>
      <c r="DGF493" s="106"/>
      <c r="DGG493" s="106"/>
      <c r="DGH493" s="106"/>
      <c r="DGI493" s="106"/>
      <c r="DGJ493" s="106"/>
      <c r="DGK493" s="106"/>
      <c r="DGL493" s="106"/>
      <c r="DGM493" s="106"/>
      <c r="DGN493" s="106"/>
      <c r="DGO493" s="106"/>
      <c r="DGP493" s="106"/>
      <c r="DGQ493" s="106"/>
      <c r="DGR493" s="106"/>
      <c r="DGS493" s="106"/>
      <c r="DGT493" s="106"/>
      <c r="DGU493" s="106"/>
      <c r="DGV493" s="106"/>
      <c r="DGW493" s="106"/>
      <c r="DGX493" s="106"/>
      <c r="DGY493" s="106"/>
      <c r="DGZ493" s="106"/>
      <c r="DHA493" s="106"/>
      <c r="DHB493" s="106"/>
      <c r="DHC493" s="106"/>
      <c r="DHD493" s="106"/>
      <c r="DHE493" s="106"/>
      <c r="DHF493" s="106"/>
      <c r="DHG493" s="106"/>
      <c r="DHH493" s="106"/>
      <c r="DHI493" s="106"/>
      <c r="DHJ493" s="106"/>
      <c r="DHK493" s="106"/>
      <c r="DHL493" s="106"/>
      <c r="DHM493" s="106"/>
      <c r="DHN493" s="106"/>
      <c r="DHO493" s="106"/>
      <c r="DHP493" s="106"/>
      <c r="DHQ493" s="106"/>
      <c r="DHR493" s="106"/>
      <c r="DHS493" s="106"/>
      <c r="DHT493" s="106"/>
      <c r="DHU493" s="106"/>
      <c r="DHV493" s="106"/>
      <c r="DHW493" s="106"/>
      <c r="DHX493" s="106"/>
      <c r="DHY493" s="106"/>
      <c r="DHZ493" s="106"/>
      <c r="DIA493" s="106"/>
      <c r="DIB493" s="106"/>
      <c r="DIC493" s="106"/>
      <c r="DID493" s="106"/>
      <c r="DIE493" s="106"/>
      <c r="DIF493" s="106"/>
      <c r="DIG493" s="106"/>
      <c r="DIH493" s="106"/>
      <c r="DII493" s="106"/>
      <c r="DIJ493" s="106"/>
      <c r="DIK493" s="106"/>
      <c r="DIL493" s="106"/>
      <c r="DIM493" s="106"/>
      <c r="DIN493" s="106"/>
      <c r="DIO493" s="106"/>
      <c r="DIP493" s="106"/>
      <c r="DIQ493" s="106"/>
      <c r="DIR493" s="106"/>
      <c r="DIS493" s="106"/>
      <c r="DIT493" s="106"/>
      <c r="DIU493" s="106"/>
      <c r="DIV493" s="106"/>
      <c r="DIW493" s="106"/>
      <c r="DIX493" s="106"/>
      <c r="DIY493" s="106"/>
      <c r="DIZ493" s="106"/>
      <c r="DJA493" s="106"/>
      <c r="DJB493" s="106"/>
      <c r="DJC493" s="106"/>
      <c r="DJD493" s="106"/>
      <c r="DJE493" s="106"/>
      <c r="DJF493" s="106"/>
      <c r="DJG493" s="106"/>
      <c r="DJH493" s="106"/>
      <c r="DJI493" s="106"/>
      <c r="DJJ493" s="106"/>
      <c r="DJK493" s="106"/>
      <c r="DJL493" s="106"/>
      <c r="DJM493" s="106"/>
      <c r="DJN493" s="106"/>
      <c r="DJO493" s="106"/>
      <c r="DJP493" s="106"/>
      <c r="DJQ493" s="106"/>
      <c r="DJR493" s="106"/>
      <c r="DJS493" s="106"/>
      <c r="DJT493" s="106"/>
      <c r="DJU493" s="106"/>
      <c r="DJV493" s="106"/>
      <c r="DJW493" s="106"/>
      <c r="DJX493" s="106"/>
      <c r="DJY493" s="106"/>
      <c r="DJZ493" s="106"/>
      <c r="DKA493" s="106"/>
      <c r="DKB493" s="106"/>
      <c r="DKC493" s="106"/>
      <c r="DKD493" s="106"/>
      <c r="DKE493" s="106"/>
      <c r="DKF493" s="106"/>
      <c r="DKG493" s="106"/>
      <c r="DKH493" s="106"/>
      <c r="DKI493" s="106"/>
      <c r="DKJ493" s="106"/>
      <c r="DKK493" s="106"/>
      <c r="DKL493" s="106"/>
      <c r="DKM493" s="106"/>
      <c r="DKN493" s="106"/>
      <c r="DKO493" s="106"/>
      <c r="DKP493" s="106"/>
      <c r="DKQ493" s="106"/>
      <c r="DKR493" s="106"/>
      <c r="DKS493" s="106"/>
      <c r="DKT493" s="106"/>
      <c r="DKU493" s="106"/>
      <c r="DKV493" s="106"/>
      <c r="DKW493" s="106"/>
      <c r="DKX493" s="106"/>
      <c r="DKY493" s="106"/>
      <c r="DKZ493" s="106"/>
      <c r="DLA493" s="106"/>
      <c r="DLB493" s="106"/>
      <c r="DLC493" s="106"/>
      <c r="DLD493" s="106"/>
      <c r="DLE493" s="106"/>
      <c r="DLF493" s="106"/>
      <c r="DLG493" s="106"/>
      <c r="DLH493" s="106"/>
      <c r="DLI493" s="106"/>
      <c r="DLJ493" s="106"/>
      <c r="DLK493" s="106"/>
      <c r="DLL493" s="106"/>
      <c r="DLM493" s="106"/>
      <c r="DLN493" s="106"/>
      <c r="DLO493" s="106"/>
      <c r="DLP493" s="106"/>
      <c r="DLQ493" s="106"/>
      <c r="DLR493" s="106"/>
      <c r="DLS493" s="106"/>
      <c r="DLT493" s="106"/>
      <c r="DLU493" s="106"/>
      <c r="DLV493" s="106"/>
      <c r="DLW493" s="106"/>
      <c r="DLX493" s="106"/>
      <c r="DLY493" s="106"/>
      <c r="DLZ493" s="106"/>
      <c r="DMA493" s="106"/>
      <c r="DMB493" s="106"/>
      <c r="DMC493" s="106"/>
      <c r="DMD493" s="106"/>
      <c r="DME493" s="106"/>
      <c r="DMF493" s="106"/>
      <c r="DMG493" s="106"/>
      <c r="DMH493" s="106"/>
      <c r="DMI493" s="106"/>
      <c r="DMJ493" s="106"/>
      <c r="DMK493" s="106"/>
      <c r="DML493" s="106"/>
      <c r="DMM493" s="106"/>
      <c r="DMN493" s="106"/>
      <c r="DMO493" s="106"/>
      <c r="DMP493" s="106"/>
      <c r="DMQ493" s="106"/>
      <c r="DMR493" s="106"/>
      <c r="DMS493" s="106"/>
      <c r="DMT493" s="106"/>
      <c r="DMU493" s="106"/>
      <c r="DMV493" s="106"/>
      <c r="DMW493" s="106"/>
      <c r="DMX493" s="106"/>
      <c r="DMY493" s="106"/>
      <c r="DMZ493" s="106"/>
      <c r="DNA493" s="106"/>
      <c r="DNB493" s="106"/>
      <c r="DNC493" s="106"/>
      <c r="DND493" s="106"/>
      <c r="DNE493" s="106"/>
      <c r="DNF493" s="106"/>
      <c r="DNG493" s="106"/>
      <c r="DNH493" s="106"/>
      <c r="DNI493" s="106"/>
      <c r="DNJ493" s="106"/>
      <c r="DNK493" s="106"/>
      <c r="DNL493" s="106"/>
      <c r="DNM493" s="106"/>
      <c r="DNN493" s="106"/>
      <c r="DNO493" s="106"/>
      <c r="DNP493" s="106"/>
      <c r="DNQ493" s="106"/>
      <c r="DNR493" s="106"/>
      <c r="DNS493" s="106"/>
      <c r="DNT493" s="106"/>
      <c r="DNU493" s="106"/>
      <c r="DNV493" s="106"/>
      <c r="DNW493" s="106"/>
      <c r="DNX493" s="106"/>
      <c r="DNY493" s="106"/>
      <c r="DNZ493" s="106"/>
      <c r="DOA493" s="106"/>
      <c r="DOB493" s="106"/>
      <c r="DOC493" s="106"/>
      <c r="DOD493" s="106"/>
      <c r="DOE493" s="106"/>
      <c r="DOF493" s="106"/>
      <c r="DOG493" s="106"/>
      <c r="DOH493" s="106"/>
      <c r="DOI493" s="106"/>
      <c r="DOJ493" s="106"/>
      <c r="DOK493" s="106"/>
      <c r="DOL493" s="106"/>
      <c r="DOM493" s="106"/>
      <c r="DON493" s="106"/>
      <c r="DOO493" s="106"/>
      <c r="DOP493" s="106"/>
      <c r="DOQ493" s="106"/>
      <c r="DOR493" s="106"/>
      <c r="DOS493" s="106"/>
      <c r="DOT493" s="106"/>
      <c r="DOU493" s="106"/>
      <c r="DOV493" s="106"/>
      <c r="DOW493" s="106"/>
      <c r="DOX493" s="106"/>
      <c r="DOY493" s="106"/>
      <c r="DOZ493" s="106"/>
      <c r="DPA493" s="106"/>
      <c r="DPB493" s="106"/>
      <c r="DPC493" s="106"/>
      <c r="DPD493" s="106"/>
      <c r="DPE493" s="106"/>
      <c r="DPF493" s="106"/>
      <c r="DPG493" s="106"/>
      <c r="DPH493" s="106"/>
      <c r="DPI493" s="106"/>
      <c r="DPJ493" s="106"/>
      <c r="DPK493" s="106"/>
      <c r="DPL493" s="106"/>
      <c r="DPM493" s="106"/>
      <c r="DPN493" s="106"/>
      <c r="DPO493" s="106"/>
      <c r="DPP493" s="106"/>
      <c r="DPQ493" s="106"/>
      <c r="DPR493" s="106"/>
      <c r="DPS493" s="106"/>
      <c r="DPT493" s="106"/>
      <c r="DPU493" s="106"/>
      <c r="DPV493" s="106"/>
      <c r="DPW493" s="106"/>
      <c r="DPX493" s="106"/>
      <c r="DPY493" s="106"/>
      <c r="DPZ493" s="106"/>
      <c r="DQA493" s="106"/>
      <c r="DQB493" s="106"/>
      <c r="DQC493" s="106"/>
      <c r="DQD493" s="106"/>
      <c r="DQE493" s="106"/>
      <c r="DQF493" s="106"/>
      <c r="DQG493" s="106"/>
      <c r="DQH493" s="106"/>
      <c r="DQI493" s="106"/>
      <c r="DQJ493" s="106"/>
      <c r="DQK493" s="106"/>
      <c r="DQL493" s="106"/>
      <c r="DQM493" s="106"/>
      <c r="DQN493" s="106"/>
      <c r="DQO493" s="106"/>
      <c r="DQP493" s="106"/>
      <c r="DQQ493" s="106"/>
      <c r="DQR493" s="106"/>
      <c r="DQS493" s="106"/>
      <c r="DQT493" s="106"/>
      <c r="DQU493" s="106"/>
      <c r="DQV493" s="106"/>
      <c r="DQW493" s="106"/>
      <c r="DQX493" s="106"/>
      <c r="DQY493" s="106"/>
      <c r="DQZ493" s="106"/>
      <c r="DRA493" s="106"/>
      <c r="DRB493" s="106"/>
      <c r="DRC493" s="106"/>
      <c r="DRD493" s="106"/>
      <c r="DRE493" s="106"/>
      <c r="DRF493" s="106"/>
      <c r="DRG493" s="106"/>
      <c r="DRH493" s="106"/>
      <c r="DRI493" s="106"/>
      <c r="DRJ493" s="106"/>
      <c r="DRK493" s="106"/>
      <c r="DRL493" s="106"/>
      <c r="DRM493" s="106"/>
      <c r="DRN493" s="106"/>
      <c r="DRO493" s="106"/>
      <c r="DRP493" s="106"/>
      <c r="DRQ493" s="106"/>
      <c r="DRR493" s="106"/>
      <c r="DRS493" s="106"/>
      <c r="DRT493" s="106"/>
      <c r="DRU493" s="106"/>
      <c r="DRV493" s="106"/>
      <c r="DRW493" s="106"/>
      <c r="DRX493" s="106"/>
      <c r="DRY493" s="106"/>
      <c r="DRZ493" s="106"/>
      <c r="DSA493" s="106"/>
      <c r="DSB493" s="106"/>
      <c r="DSC493" s="106"/>
      <c r="DSD493" s="106"/>
      <c r="DSE493" s="106"/>
      <c r="DSF493" s="106"/>
      <c r="DSG493" s="106"/>
      <c r="DSH493" s="106"/>
      <c r="DSI493" s="106"/>
      <c r="DSJ493" s="106"/>
      <c r="DSK493" s="106"/>
      <c r="DSL493" s="106"/>
      <c r="DSM493" s="106"/>
      <c r="DSN493" s="106"/>
      <c r="DSO493" s="106"/>
      <c r="DSP493" s="106"/>
      <c r="DSQ493" s="106"/>
      <c r="DSR493" s="106"/>
      <c r="DSS493" s="106"/>
      <c r="DST493" s="106"/>
      <c r="DSU493" s="106"/>
      <c r="DSV493" s="106"/>
      <c r="DSW493" s="106"/>
      <c r="DSX493" s="106"/>
      <c r="DSY493" s="106"/>
      <c r="DSZ493" s="106"/>
      <c r="DTA493" s="106"/>
      <c r="DTB493" s="106"/>
      <c r="DTC493" s="106"/>
      <c r="DTD493" s="106"/>
      <c r="DTE493" s="106"/>
      <c r="DTF493" s="106"/>
      <c r="DTG493" s="106"/>
      <c r="DTH493" s="106"/>
      <c r="DTI493" s="106"/>
      <c r="DTJ493" s="106"/>
      <c r="DTK493" s="106"/>
      <c r="DTL493" s="106"/>
      <c r="DTM493" s="106"/>
      <c r="DTN493" s="106"/>
      <c r="DTO493" s="106"/>
      <c r="DTP493" s="106"/>
      <c r="DTQ493" s="106"/>
      <c r="DTR493" s="106"/>
      <c r="DTS493" s="106"/>
      <c r="DTT493" s="106"/>
      <c r="DTU493" s="106"/>
      <c r="DTV493" s="106"/>
      <c r="DTW493" s="106"/>
      <c r="DTX493" s="106"/>
      <c r="DTY493" s="106"/>
      <c r="DTZ493" s="106"/>
      <c r="DUA493" s="106"/>
      <c r="DUB493" s="106"/>
      <c r="DUC493" s="106"/>
      <c r="DUD493" s="106"/>
      <c r="DUE493" s="106"/>
      <c r="DUF493" s="106"/>
      <c r="DUG493" s="106"/>
      <c r="DUH493" s="106"/>
      <c r="DUI493" s="106"/>
      <c r="DUJ493" s="106"/>
      <c r="DUK493" s="106"/>
      <c r="DUL493" s="106"/>
      <c r="DUM493" s="106"/>
      <c r="DUN493" s="106"/>
      <c r="DUO493" s="106"/>
      <c r="DUP493" s="106"/>
      <c r="DUQ493" s="106"/>
      <c r="DUR493" s="106"/>
      <c r="DUS493" s="106"/>
      <c r="DUT493" s="106"/>
      <c r="DUU493" s="106"/>
      <c r="DUV493" s="106"/>
      <c r="DUW493" s="106"/>
      <c r="DUX493" s="106"/>
      <c r="DUY493" s="106"/>
      <c r="DUZ493" s="106"/>
      <c r="DVA493" s="106"/>
      <c r="DVB493" s="106"/>
      <c r="DVC493" s="106"/>
      <c r="DVD493" s="106"/>
      <c r="DVE493" s="106"/>
      <c r="DVF493" s="106"/>
      <c r="DVG493" s="106"/>
      <c r="DVH493" s="106"/>
      <c r="DVI493" s="106"/>
      <c r="DVJ493" s="106"/>
      <c r="DVK493" s="106"/>
      <c r="DVL493" s="106"/>
      <c r="DVM493" s="106"/>
      <c r="DVN493" s="106"/>
      <c r="DVO493" s="106"/>
      <c r="DVP493" s="106"/>
      <c r="DVQ493" s="106"/>
      <c r="DVR493" s="106"/>
      <c r="DVS493" s="106"/>
      <c r="DVT493" s="106"/>
      <c r="DVU493" s="106"/>
      <c r="DVV493" s="106"/>
      <c r="DVW493" s="106"/>
      <c r="DVX493" s="106"/>
      <c r="DVY493" s="106"/>
      <c r="DVZ493" s="106"/>
      <c r="DWA493" s="106"/>
      <c r="DWB493" s="106"/>
      <c r="DWC493" s="106"/>
      <c r="DWD493" s="106"/>
      <c r="DWE493" s="106"/>
      <c r="DWF493" s="106"/>
      <c r="DWG493" s="106"/>
      <c r="DWH493" s="106"/>
      <c r="DWI493" s="106"/>
      <c r="DWJ493" s="106"/>
      <c r="DWK493" s="106"/>
      <c r="DWL493" s="106"/>
      <c r="DWM493" s="106"/>
      <c r="DWN493" s="106"/>
      <c r="DWO493" s="106"/>
      <c r="DWP493" s="106"/>
      <c r="DWQ493" s="106"/>
      <c r="DWR493" s="106"/>
      <c r="DWS493" s="106"/>
      <c r="DWT493" s="106"/>
      <c r="DWU493" s="106"/>
      <c r="DWV493" s="106"/>
      <c r="DWW493" s="106"/>
      <c r="DWX493" s="106"/>
      <c r="DWY493" s="106"/>
      <c r="DWZ493" s="106"/>
      <c r="DXA493" s="106"/>
      <c r="DXB493" s="106"/>
      <c r="DXC493" s="106"/>
      <c r="DXD493" s="106"/>
      <c r="DXE493" s="106"/>
      <c r="DXF493" s="106"/>
      <c r="DXG493" s="106"/>
      <c r="DXH493" s="106"/>
      <c r="DXI493" s="106"/>
      <c r="DXJ493" s="106"/>
      <c r="DXK493" s="106"/>
      <c r="DXL493" s="106"/>
      <c r="DXM493" s="106"/>
      <c r="DXN493" s="106"/>
      <c r="DXO493" s="106"/>
      <c r="DXP493" s="106"/>
      <c r="DXQ493" s="106"/>
      <c r="DXR493" s="106"/>
      <c r="DXS493" s="106"/>
      <c r="DXT493" s="106"/>
      <c r="DXU493" s="106"/>
      <c r="DXV493" s="106"/>
      <c r="DXW493" s="106"/>
      <c r="DXX493" s="106"/>
      <c r="DXY493" s="106"/>
      <c r="DXZ493" s="106"/>
      <c r="DYA493" s="106"/>
      <c r="DYB493" s="106"/>
      <c r="DYC493" s="106"/>
      <c r="DYD493" s="106"/>
      <c r="DYE493" s="106"/>
      <c r="DYF493" s="106"/>
      <c r="DYG493" s="106"/>
      <c r="DYH493" s="106"/>
      <c r="DYI493" s="106"/>
      <c r="DYJ493" s="106"/>
      <c r="DYK493" s="106"/>
      <c r="DYL493" s="106"/>
      <c r="DYM493" s="106"/>
      <c r="DYN493" s="106"/>
      <c r="DYO493" s="106"/>
      <c r="DYP493" s="106"/>
      <c r="DYQ493" s="106"/>
      <c r="DYR493" s="106"/>
      <c r="DYS493" s="106"/>
      <c r="DYT493" s="106"/>
      <c r="DYU493" s="106"/>
      <c r="DYV493" s="106"/>
      <c r="DYW493" s="106"/>
      <c r="DYX493" s="106"/>
      <c r="DYY493" s="106"/>
      <c r="DYZ493" s="106"/>
      <c r="DZA493" s="106"/>
      <c r="DZB493" s="106"/>
      <c r="DZC493" s="106"/>
      <c r="DZD493" s="106"/>
      <c r="DZE493" s="106"/>
      <c r="DZF493" s="106"/>
      <c r="DZG493" s="106"/>
      <c r="DZH493" s="106"/>
      <c r="DZI493" s="106"/>
      <c r="DZJ493" s="106"/>
      <c r="DZK493" s="106"/>
      <c r="DZL493" s="106"/>
      <c r="DZM493" s="106"/>
      <c r="DZN493" s="106"/>
      <c r="DZO493" s="106"/>
      <c r="DZP493" s="106"/>
      <c r="DZQ493" s="106"/>
      <c r="DZR493" s="106"/>
      <c r="DZS493" s="106"/>
      <c r="DZT493" s="106"/>
      <c r="DZU493" s="106"/>
      <c r="DZV493" s="106"/>
      <c r="DZW493" s="106"/>
      <c r="DZX493" s="106"/>
      <c r="DZY493" s="106"/>
      <c r="DZZ493" s="106"/>
      <c r="EAA493" s="106"/>
      <c r="EAB493" s="106"/>
      <c r="EAC493" s="106"/>
      <c r="EAD493" s="106"/>
      <c r="EAE493" s="106"/>
      <c r="EAF493" s="106"/>
      <c r="EAG493" s="106"/>
      <c r="EAH493" s="106"/>
      <c r="EAI493" s="106"/>
      <c r="EAJ493" s="106"/>
      <c r="EAK493" s="106"/>
      <c r="EAL493" s="106"/>
      <c r="EAM493" s="106"/>
      <c r="EAN493" s="106"/>
      <c r="EAO493" s="106"/>
      <c r="EAP493" s="106"/>
      <c r="EAQ493" s="106"/>
      <c r="EAR493" s="106"/>
      <c r="EAS493" s="106"/>
      <c r="EAT493" s="106"/>
      <c r="EAU493" s="106"/>
      <c r="EAV493" s="106"/>
      <c r="EAW493" s="106"/>
      <c r="EAX493" s="106"/>
      <c r="EAY493" s="106"/>
      <c r="EAZ493" s="106"/>
      <c r="EBA493" s="106"/>
      <c r="EBB493" s="106"/>
      <c r="EBC493" s="106"/>
      <c r="EBD493" s="106"/>
      <c r="EBE493" s="106"/>
      <c r="EBF493" s="106"/>
      <c r="EBG493" s="106"/>
      <c r="EBH493" s="106"/>
      <c r="EBI493" s="106"/>
      <c r="EBJ493" s="106"/>
      <c r="EBK493" s="106"/>
      <c r="EBL493" s="106"/>
      <c r="EBM493" s="106"/>
      <c r="EBN493" s="106"/>
      <c r="EBO493" s="106"/>
      <c r="EBP493" s="106"/>
      <c r="EBQ493" s="106"/>
      <c r="EBR493" s="106"/>
      <c r="EBS493" s="106"/>
      <c r="EBT493" s="106"/>
      <c r="EBU493" s="106"/>
      <c r="EBV493" s="106"/>
      <c r="EBW493" s="106"/>
      <c r="EBX493" s="106"/>
      <c r="EBY493" s="106"/>
      <c r="EBZ493" s="106"/>
      <c r="ECA493" s="106"/>
      <c r="ECB493" s="106"/>
      <c r="ECC493" s="106"/>
      <c r="ECD493" s="106"/>
      <c r="ECE493" s="106"/>
      <c r="ECF493" s="106"/>
      <c r="ECG493" s="106"/>
      <c r="ECH493" s="106"/>
      <c r="ECI493" s="106"/>
      <c r="ECJ493" s="106"/>
      <c r="ECK493" s="106"/>
      <c r="ECL493" s="106"/>
      <c r="ECM493" s="106"/>
      <c r="ECN493" s="106"/>
      <c r="ECO493" s="106"/>
      <c r="ECP493" s="106"/>
      <c r="ECQ493" s="106"/>
      <c r="ECR493" s="106"/>
      <c r="ECS493" s="106"/>
      <c r="ECT493" s="106"/>
      <c r="ECU493" s="106"/>
      <c r="ECV493" s="106"/>
      <c r="ECW493" s="106"/>
      <c r="ECX493" s="106"/>
      <c r="ECY493" s="106"/>
      <c r="ECZ493" s="106"/>
      <c r="EDA493" s="106"/>
      <c r="EDB493" s="106"/>
      <c r="EDC493" s="106"/>
      <c r="EDD493" s="106"/>
      <c r="EDE493" s="106"/>
      <c r="EDF493" s="106"/>
      <c r="EDG493" s="106"/>
      <c r="EDH493" s="106"/>
      <c r="EDI493" s="106"/>
      <c r="EDJ493" s="106"/>
      <c r="EDK493" s="106"/>
      <c r="EDL493" s="106"/>
      <c r="EDM493" s="106"/>
      <c r="EDN493" s="106"/>
      <c r="EDO493" s="106"/>
      <c r="EDP493" s="106"/>
      <c r="EDQ493" s="106"/>
      <c r="EDR493" s="106"/>
      <c r="EDS493" s="106"/>
      <c r="EDT493" s="106"/>
      <c r="EDU493" s="106"/>
      <c r="EDV493" s="106"/>
      <c r="EDW493" s="106"/>
      <c r="EDX493" s="106"/>
      <c r="EDY493" s="106"/>
      <c r="EDZ493" s="106"/>
      <c r="EEA493" s="106"/>
      <c r="EEB493" s="106"/>
      <c r="EEC493" s="106"/>
      <c r="EED493" s="106"/>
      <c r="EEE493" s="106"/>
      <c r="EEF493" s="106"/>
      <c r="EEG493" s="106"/>
      <c r="EEH493" s="106"/>
      <c r="EEI493" s="106"/>
      <c r="EEJ493" s="106"/>
      <c r="EEK493" s="106"/>
      <c r="EEL493" s="106"/>
      <c r="EEM493" s="106"/>
      <c r="EEN493" s="106"/>
      <c r="EEO493" s="106"/>
      <c r="EEP493" s="106"/>
      <c r="EEQ493" s="106"/>
      <c r="EER493" s="106"/>
      <c r="EES493" s="106"/>
      <c r="EET493" s="106"/>
      <c r="EEU493" s="106"/>
      <c r="EEV493" s="106"/>
      <c r="EEW493" s="106"/>
      <c r="EEX493" s="106"/>
      <c r="EEY493" s="106"/>
      <c r="EEZ493" s="106"/>
      <c r="EFA493" s="106"/>
      <c r="EFB493" s="106"/>
      <c r="EFC493" s="106"/>
      <c r="EFD493" s="106"/>
      <c r="EFE493" s="106"/>
      <c r="EFF493" s="106"/>
      <c r="EFG493" s="106"/>
      <c r="EFH493" s="106"/>
      <c r="EFI493" s="106"/>
      <c r="EFJ493" s="106"/>
      <c r="EFK493" s="106"/>
      <c r="EFL493" s="106"/>
      <c r="EFM493" s="106"/>
      <c r="EFN493" s="106"/>
      <c r="EFO493" s="106"/>
      <c r="EFP493" s="106"/>
      <c r="EFQ493" s="106"/>
      <c r="EFR493" s="106"/>
      <c r="EFS493" s="106"/>
      <c r="EFT493" s="106"/>
      <c r="EFU493" s="106"/>
      <c r="EFV493" s="106"/>
      <c r="EFW493" s="106"/>
      <c r="EFX493" s="106"/>
      <c r="EFY493" s="106"/>
      <c r="EFZ493" s="106"/>
      <c r="EGA493" s="106"/>
      <c r="EGB493" s="106"/>
      <c r="EGC493" s="106"/>
      <c r="EGD493" s="106"/>
      <c r="EGE493" s="106"/>
      <c r="EGF493" s="106"/>
      <c r="EGG493" s="106"/>
      <c r="EGH493" s="106"/>
      <c r="EGI493" s="106"/>
      <c r="EGJ493" s="106"/>
      <c r="EGK493" s="106"/>
      <c r="EGL493" s="106"/>
      <c r="EGM493" s="106"/>
      <c r="EGN493" s="106"/>
      <c r="EGO493" s="106"/>
      <c r="EGP493" s="106"/>
      <c r="EGQ493" s="106"/>
      <c r="EGR493" s="106"/>
      <c r="EGS493" s="106"/>
      <c r="EGT493" s="106"/>
      <c r="EGU493" s="106"/>
      <c r="EGV493" s="106"/>
      <c r="EGW493" s="106"/>
      <c r="EGX493" s="106"/>
      <c r="EGY493" s="106"/>
      <c r="EGZ493" s="106"/>
      <c r="EHA493" s="106"/>
      <c r="EHB493" s="106"/>
      <c r="EHC493" s="106"/>
      <c r="EHD493" s="106"/>
      <c r="EHE493" s="106"/>
      <c r="EHF493" s="106"/>
      <c r="EHG493" s="106"/>
      <c r="EHH493" s="106"/>
      <c r="EHI493" s="106"/>
      <c r="EHJ493" s="106"/>
      <c r="EHK493" s="106"/>
      <c r="EHL493" s="106"/>
      <c r="EHM493" s="106"/>
      <c r="EHN493" s="106"/>
      <c r="EHO493" s="106"/>
      <c r="EHP493" s="106"/>
      <c r="EHQ493" s="106"/>
      <c r="EHR493" s="106"/>
      <c r="EHS493" s="106"/>
      <c r="EHT493" s="106"/>
      <c r="EHU493" s="106"/>
      <c r="EHV493" s="106"/>
      <c r="EHW493" s="106"/>
      <c r="EHX493" s="106"/>
      <c r="EHY493" s="106"/>
      <c r="EHZ493" s="106"/>
      <c r="EIA493" s="106"/>
      <c r="EIB493" s="106"/>
      <c r="EIC493" s="106"/>
      <c r="EID493" s="106"/>
      <c r="EIE493" s="106"/>
      <c r="EIF493" s="106"/>
      <c r="EIG493" s="106"/>
      <c r="EIH493" s="106"/>
      <c r="EII493" s="106"/>
      <c r="EIJ493" s="106"/>
      <c r="EIK493" s="106"/>
      <c r="EIL493" s="106"/>
      <c r="EIM493" s="106"/>
      <c r="EIN493" s="106"/>
      <c r="EIO493" s="106"/>
      <c r="EIP493" s="106"/>
      <c r="EIQ493" s="106"/>
      <c r="EIR493" s="106"/>
      <c r="EIS493" s="106"/>
      <c r="EIT493" s="106"/>
      <c r="EIU493" s="106"/>
      <c r="EIV493" s="106"/>
      <c r="EIW493" s="106"/>
      <c r="EIX493" s="106"/>
      <c r="EIY493" s="106"/>
      <c r="EIZ493" s="106"/>
      <c r="EJA493" s="106"/>
      <c r="EJB493" s="106"/>
      <c r="EJC493" s="106"/>
      <c r="EJD493" s="106"/>
      <c r="EJE493" s="106"/>
      <c r="EJF493" s="106"/>
      <c r="EJG493" s="106"/>
      <c r="EJH493" s="106"/>
      <c r="EJI493" s="106"/>
      <c r="EJJ493" s="106"/>
      <c r="EJK493" s="106"/>
      <c r="EJL493" s="106"/>
      <c r="EJM493" s="106"/>
      <c r="EJN493" s="106"/>
      <c r="EJO493" s="106"/>
      <c r="EJP493" s="106"/>
      <c r="EJQ493" s="106"/>
      <c r="EJR493" s="106"/>
      <c r="EJS493" s="106"/>
      <c r="EJT493" s="106"/>
      <c r="EJU493" s="106"/>
      <c r="EJV493" s="106"/>
      <c r="EJW493" s="106"/>
      <c r="EJX493" s="106"/>
      <c r="EJY493" s="106"/>
      <c r="EJZ493" s="106"/>
      <c r="EKA493" s="106"/>
      <c r="EKB493" s="106"/>
      <c r="EKC493" s="106"/>
      <c r="EKD493" s="106"/>
      <c r="EKE493" s="106"/>
      <c r="EKF493" s="106"/>
      <c r="EKG493" s="106"/>
      <c r="EKH493" s="106"/>
      <c r="EKI493" s="106"/>
      <c r="EKJ493" s="106"/>
      <c r="EKK493" s="106"/>
      <c r="EKL493" s="106"/>
      <c r="EKM493" s="106"/>
      <c r="EKN493" s="106"/>
      <c r="EKO493" s="106"/>
      <c r="EKP493" s="106"/>
      <c r="EKQ493" s="106"/>
      <c r="EKR493" s="106"/>
      <c r="EKS493" s="106"/>
      <c r="EKT493" s="106"/>
      <c r="EKU493" s="106"/>
      <c r="EKV493" s="106"/>
      <c r="EKW493" s="106"/>
      <c r="EKX493" s="106"/>
      <c r="EKY493" s="106"/>
      <c r="EKZ493" s="106"/>
      <c r="ELA493" s="106"/>
      <c r="ELB493" s="106"/>
      <c r="ELC493" s="106"/>
      <c r="ELD493" s="106"/>
      <c r="ELE493" s="106"/>
      <c r="ELF493" s="106"/>
      <c r="ELG493" s="106"/>
      <c r="ELH493" s="106"/>
      <c r="ELI493" s="106"/>
      <c r="ELJ493" s="106"/>
      <c r="ELK493" s="106"/>
      <c r="ELL493" s="106"/>
      <c r="ELM493" s="106"/>
      <c r="ELN493" s="106"/>
      <c r="ELO493" s="106"/>
      <c r="ELP493" s="106"/>
      <c r="ELQ493" s="106"/>
      <c r="ELR493" s="106"/>
      <c r="ELS493" s="106"/>
      <c r="ELT493" s="106"/>
      <c r="ELU493" s="106"/>
      <c r="ELV493" s="106"/>
      <c r="ELW493" s="106"/>
      <c r="ELX493" s="106"/>
      <c r="ELY493" s="106"/>
      <c r="ELZ493" s="106"/>
      <c r="EMA493" s="106"/>
      <c r="EMB493" s="106"/>
      <c r="EMC493" s="106"/>
      <c r="EMD493" s="106"/>
      <c r="EME493" s="106"/>
      <c r="EMF493" s="106"/>
      <c r="EMG493" s="106"/>
      <c r="EMH493" s="106"/>
      <c r="EMI493" s="106"/>
      <c r="EMJ493" s="106"/>
      <c r="EMK493" s="106"/>
      <c r="EML493" s="106"/>
      <c r="EMM493" s="106"/>
      <c r="EMN493" s="106"/>
      <c r="EMO493" s="106"/>
      <c r="EMP493" s="106"/>
      <c r="EMQ493" s="106"/>
      <c r="EMR493" s="106"/>
      <c r="EMS493" s="106"/>
      <c r="EMT493" s="106"/>
      <c r="EMU493" s="106"/>
      <c r="EMV493" s="106"/>
      <c r="EMW493" s="106"/>
      <c r="EMX493" s="106"/>
      <c r="EMY493" s="106"/>
      <c r="EMZ493" s="106"/>
      <c r="ENA493" s="106"/>
      <c r="ENB493" s="106"/>
      <c r="ENC493" s="106"/>
      <c r="END493" s="106"/>
      <c r="ENE493" s="106"/>
      <c r="ENF493" s="106"/>
      <c r="ENG493" s="106"/>
      <c r="ENH493" s="106"/>
      <c r="ENI493" s="106"/>
      <c r="ENJ493" s="106"/>
      <c r="ENK493" s="106"/>
      <c r="ENL493" s="106"/>
      <c r="ENM493" s="106"/>
      <c r="ENN493" s="106"/>
      <c r="ENO493" s="106"/>
      <c r="ENP493" s="106"/>
      <c r="ENQ493" s="106"/>
      <c r="ENR493" s="106"/>
      <c r="ENS493" s="106"/>
      <c r="ENT493" s="106"/>
      <c r="ENU493" s="106"/>
      <c r="ENV493" s="106"/>
      <c r="ENW493" s="106"/>
      <c r="ENX493" s="106"/>
      <c r="ENY493" s="106"/>
      <c r="ENZ493" s="106"/>
      <c r="EOA493" s="106"/>
      <c r="EOB493" s="106"/>
      <c r="EOC493" s="106"/>
      <c r="EOD493" s="106"/>
      <c r="EOE493" s="106"/>
      <c r="EOF493" s="106"/>
      <c r="EOG493" s="106"/>
      <c r="EOH493" s="106"/>
      <c r="EOI493" s="106"/>
      <c r="EOJ493" s="106"/>
      <c r="EOK493" s="106"/>
      <c r="EOL493" s="106"/>
      <c r="EOM493" s="106"/>
      <c r="EON493" s="106"/>
      <c r="EOO493" s="106"/>
      <c r="EOP493" s="106"/>
      <c r="EOQ493" s="106"/>
      <c r="EOR493" s="106"/>
      <c r="EOS493" s="106"/>
      <c r="EOT493" s="106"/>
      <c r="EOU493" s="106"/>
      <c r="EOV493" s="106"/>
      <c r="EOW493" s="106"/>
      <c r="EOX493" s="106"/>
      <c r="EOY493" s="106"/>
      <c r="EOZ493" s="106"/>
      <c r="EPA493" s="106"/>
      <c r="EPB493" s="106"/>
      <c r="EPC493" s="106"/>
      <c r="EPD493" s="106"/>
      <c r="EPE493" s="106"/>
      <c r="EPF493" s="106"/>
      <c r="EPG493" s="106"/>
      <c r="EPH493" s="106"/>
      <c r="EPI493" s="106"/>
      <c r="EPJ493" s="106"/>
      <c r="EPK493" s="106"/>
      <c r="EPL493" s="106"/>
      <c r="EPM493" s="106"/>
      <c r="EPN493" s="106"/>
      <c r="EPO493" s="106"/>
      <c r="EPP493" s="106"/>
      <c r="EPQ493" s="106"/>
      <c r="EPR493" s="106"/>
      <c r="EPS493" s="106"/>
      <c r="EPT493" s="106"/>
      <c r="EPU493" s="106"/>
      <c r="EPV493" s="106"/>
      <c r="EPW493" s="106"/>
      <c r="EPX493" s="106"/>
      <c r="EPY493" s="106"/>
      <c r="EPZ493" s="106"/>
      <c r="EQA493" s="106"/>
      <c r="EQB493" s="106"/>
      <c r="EQC493" s="106"/>
      <c r="EQD493" s="106"/>
      <c r="EQE493" s="106"/>
      <c r="EQF493" s="106"/>
      <c r="EQG493" s="106"/>
      <c r="EQH493" s="106"/>
      <c r="EQI493" s="106"/>
      <c r="EQJ493" s="106"/>
      <c r="EQK493" s="106"/>
      <c r="EQL493" s="106"/>
      <c r="EQM493" s="106"/>
      <c r="EQN493" s="106"/>
      <c r="EQO493" s="106"/>
      <c r="EQP493" s="106"/>
      <c r="EQQ493" s="106"/>
      <c r="EQR493" s="106"/>
      <c r="EQS493" s="106"/>
      <c r="EQT493" s="106"/>
      <c r="EQU493" s="106"/>
      <c r="EQV493" s="106"/>
      <c r="EQW493" s="106"/>
      <c r="EQX493" s="106"/>
      <c r="EQY493" s="106"/>
      <c r="EQZ493" s="106"/>
      <c r="ERA493" s="106"/>
      <c r="ERB493" s="106"/>
      <c r="ERC493" s="106"/>
      <c r="ERD493" s="106"/>
      <c r="ERE493" s="106"/>
      <c r="ERF493" s="106"/>
      <c r="ERG493" s="106"/>
      <c r="ERH493" s="106"/>
      <c r="ERI493" s="106"/>
      <c r="ERJ493" s="106"/>
      <c r="ERK493" s="106"/>
      <c r="ERL493" s="106"/>
      <c r="ERM493" s="106"/>
      <c r="ERN493" s="106"/>
      <c r="ERO493" s="106"/>
      <c r="ERP493" s="106"/>
      <c r="ERQ493" s="106"/>
      <c r="ERR493" s="106"/>
      <c r="ERS493" s="106"/>
      <c r="ERT493" s="106"/>
      <c r="ERU493" s="106"/>
      <c r="ERV493" s="106"/>
      <c r="ERW493" s="106"/>
      <c r="ERX493" s="106"/>
      <c r="ERY493" s="106"/>
      <c r="ERZ493" s="106"/>
      <c r="ESA493" s="106"/>
      <c r="ESB493" s="106"/>
      <c r="ESC493" s="106"/>
      <c r="ESD493" s="106"/>
      <c r="ESE493" s="106"/>
      <c r="ESF493" s="106"/>
      <c r="ESG493" s="106"/>
      <c r="ESH493" s="106"/>
      <c r="ESI493" s="106"/>
      <c r="ESJ493" s="106"/>
      <c r="ESK493" s="106"/>
      <c r="ESL493" s="106"/>
      <c r="ESM493" s="106"/>
      <c r="ESN493" s="106"/>
      <c r="ESO493" s="106"/>
      <c r="ESP493" s="106"/>
      <c r="ESQ493" s="106"/>
      <c r="ESR493" s="106"/>
      <c r="ESS493" s="106"/>
      <c r="EST493" s="106"/>
      <c r="ESU493" s="106"/>
      <c r="ESV493" s="106"/>
      <c r="ESW493" s="106"/>
      <c r="ESX493" s="106"/>
      <c r="ESY493" s="106"/>
      <c r="ESZ493" s="106"/>
      <c r="ETA493" s="106"/>
      <c r="ETB493" s="106"/>
      <c r="ETC493" s="106"/>
      <c r="ETD493" s="106"/>
      <c r="ETE493" s="106"/>
      <c r="ETF493" s="106"/>
      <c r="ETG493" s="106"/>
      <c r="ETH493" s="106"/>
      <c r="ETI493" s="106"/>
      <c r="ETJ493" s="106"/>
      <c r="ETK493" s="106"/>
      <c r="ETL493" s="106"/>
      <c r="ETM493" s="106"/>
      <c r="ETN493" s="106"/>
      <c r="ETO493" s="106"/>
      <c r="ETP493" s="106"/>
      <c r="ETQ493" s="106"/>
      <c r="ETR493" s="106"/>
      <c r="ETS493" s="106"/>
      <c r="ETT493" s="106"/>
      <c r="ETU493" s="106"/>
      <c r="ETV493" s="106"/>
      <c r="ETW493" s="106"/>
      <c r="ETX493" s="106"/>
      <c r="ETY493" s="106"/>
      <c r="ETZ493" s="106"/>
      <c r="EUA493" s="106"/>
      <c r="EUB493" s="106"/>
      <c r="EUC493" s="106"/>
      <c r="EUD493" s="106"/>
      <c r="EUE493" s="106"/>
      <c r="EUF493" s="106"/>
      <c r="EUG493" s="106"/>
      <c r="EUH493" s="106"/>
      <c r="EUI493" s="106"/>
      <c r="EUJ493" s="106"/>
      <c r="EUK493" s="106"/>
      <c r="EUL493" s="106"/>
      <c r="EUM493" s="106"/>
      <c r="EUN493" s="106"/>
      <c r="EUO493" s="106"/>
      <c r="EUP493" s="106"/>
      <c r="EUQ493" s="106"/>
      <c r="EUR493" s="106"/>
      <c r="EUS493" s="106"/>
      <c r="EUT493" s="106"/>
      <c r="EUU493" s="106"/>
      <c r="EUV493" s="106"/>
      <c r="EUW493" s="106"/>
      <c r="EUX493" s="106"/>
      <c r="EUY493" s="106"/>
      <c r="EUZ493" s="106"/>
      <c r="EVA493" s="106"/>
      <c r="EVB493" s="106"/>
      <c r="EVC493" s="106"/>
      <c r="EVD493" s="106"/>
      <c r="EVE493" s="106"/>
      <c r="EVF493" s="106"/>
      <c r="EVG493" s="106"/>
      <c r="EVH493" s="106"/>
      <c r="EVI493" s="106"/>
      <c r="EVJ493" s="106"/>
      <c r="EVK493" s="106"/>
      <c r="EVL493" s="106"/>
      <c r="EVM493" s="106"/>
      <c r="EVN493" s="106"/>
      <c r="EVO493" s="106"/>
      <c r="EVP493" s="106"/>
      <c r="EVQ493" s="106"/>
      <c r="EVR493" s="106"/>
      <c r="EVS493" s="106"/>
      <c r="EVT493" s="106"/>
      <c r="EVU493" s="106"/>
      <c r="EVV493" s="106"/>
      <c r="EVW493" s="106"/>
      <c r="EVX493" s="106"/>
      <c r="EVY493" s="106"/>
      <c r="EVZ493" s="106"/>
      <c r="EWA493" s="106"/>
      <c r="EWB493" s="106"/>
      <c r="EWC493" s="106"/>
      <c r="EWD493" s="106"/>
      <c r="EWE493" s="106"/>
      <c r="EWF493" s="106"/>
      <c r="EWG493" s="106"/>
      <c r="EWH493" s="106"/>
      <c r="EWI493" s="106"/>
      <c r="EWJ493" s="106"/>
      <c r="EWK493" s="106"/>
      <c r="EWL493" s="106"/>
      <c r="EWM493" s="106"/>
      <c r="EWN493" s="106"/>
      <c r="EWO493" s="106"/>
      <c r="EWP493" s="106"/>
      <c r="EWQ493" s="106"/>
      <c r="EWR493" s="106"/>
      <c r="EWS493" s="106"/>
      <c r="EWT493" s="106"/>
      <c r="EWU493" s="106"/>
      <c r="EWV493" s="106"/>
      <c r="EWW493" s="106"/>
      <c r="EWX493" s="106"/>
      <c r="EWY493" s="106"/>
      <c r="EWZ493" s="106"/>
      <c r="EXA493" s="106"/>
      <c r="EXB493" s="106"/>
      <c r="EXC493" s="106"/>
      <c r="EXD493" s="106"/>
      <c r="EXE493" s="106"/>
      <c r="EXF493" s="106"/>
      <c r="EXG493" s="106"/>
      <c r="EXH493" s="106"/>
      <c r="EXI493" s="106"/>
      <c r="EXJ493" s="106"/>
      <c r="EXK493" s="106"/>
      <c r="EXL493" s="106"/>
      <c r="EXM493" s="106"/>
      <c r="EXN493" s="106"/>
      <c r="EXO493" s="106"/>
      <c r="EXP493" s="106"/>
      <c r="EXQ493" s="106"/>
      <c r="EXR493" s="106"/>
      <c r="EXS493" s="106"/>
      <c r="EXT493" s="106"/>
      <c r="EXU493" s="106"/>
      <c r="EXV493" s="106"/>
      <c r="EXW493" s="106"/>
      <c r="EXX493" s="106"/>
      <c r="EXY493" s="106"/>
      <c r="EXZ493" s="106"/>
      <c r="EYA493" s="106"/>
      <c r="EYB493" s="106"/>
      <c r="EYC493" s="106"/>
      <c r="EYD493" s="106"/>
      <c r="EYE493" s="106"/>
      <c r="EYF493" s="106"/>
      <c r="EYG493" s="106"/>
      <c r="EYH493" s="106"/>
      <c r="EYI493" s="106"/>
      <c r="EYJ493" s="106"/>
      <c r="EYK493" s="106"/>
      <c r="EYL493" s="106"/>
      <c r="EYM493" s="106"/>
      <c r="EYN493" s="106"/>
      <c r="EYO493" s="106"/>
      <c r="EYP493" s="106"/>
      <c r="EYQ493" s="106"/>
      <c r="EYR493" s="106"/>
      <c r="EYS493" s="106"/>
      <c r="EYT493" s="106"/>
      <c r="EYU493" s="106"/>
      <c r="EYV493" s="106"/>
      <c r="EYW493" s="106"/>
      <c r="EYX493" s="106"/>
      <c r="EYY493" s="106"/>
      <c r="EYZ493" s="106"/>
      <c r="EZA493" s="106"/>
      <c r="EZB493" s="106"/>
      <c r="EZC493" s="106"/>
      <c r="EZD493" s="106"/>
      <c r="EZE493" s="106"/>
      <c r="EZF493" s="106"/>
      <c r="EZG493" s="106"/>
      <c r="EZH493" s="106"/>
      <c r="EZI493" s="106"/>
      <c r="EZJ493" s="106"/>
      <c r="EZK493" s="106"/>
      <c r="EZL493" s="106"/>
      <c r="EZM493" s="106"/>
      <c r="EZN493" s="106"/>
      <c r="EZO493" s="106"/>
      <c r="EZP493" s="106"/>
      <c r="EZQ493" s="106"/>
      <c r="EZR493" s="106"/>
      <c r="EZS493" s="106"/>
      <c r="EZT493" s="106"/>
      <c r="EZU493" s="106"/>
      <c r="EZV493" s="106"/>
      <c r="EZW493" s="106"/>
      <c r="EZX493" s="106"/>
      <c r="EZY493" s="106"/>
      <c r="EZZ493" s="106"/>
      <c r="FAA493" s="106"/>
      <c r="FAB493" s="106"/>
      <c r="FAC493" s="106"/>
      <c r="FAD493" s="106"/>
      <c r="FAE493" s="106"/>
      <c r="FAF493" s="106"/>
      <c r="FAG493" s="106"/>
      <c r="FAH493" s="106"/>
      <c r="FAI493" s="106"/>
      <c r="FAJ493" s="106"/>
      <c r="FAK493" s="106"/>
      <c r="FAL493" s="106"/>
      <c r="FAM493" s="106"/>
      <c r="FAN493" s="106"/>
      <c r="FAO493" s="106"/>
      <c r="FAP493" s="106"/>
      <c r="FAQ493" s="106"/>
      <c r="FAR493" s="106"/>
      <c r="FAS493" s="106"/>
      <c r="FAT493" s="106"/>
      <c r="FAU493" s="106"/>
      <c r="FAV493" s="106"/>
      <c r="FAW493" s="106"/>
      <c r="FAX493" s="106"/>
      <c r="FAY493" s="106"/>
      <c r="FAZ493" s="106"/>
      <c r="FBA493" s="106"/>
      <c r="FBB493" s="106"/>
      <c r="FBC493" s="106"/>
      <c r="FBD493" s="106"/>
      <c r="FBE493" s="106"/>
      <c r="FBF493" s="106"/>
      <c r="FBG493" s="106"/>
      <c r="FBH493" s="106"/>
      <c r="FBI493" s="106"/>
      <c r="FBJ493" s="106"/>
      <c r="FBK493" s="106"/>
      <c r="FBL493" s="106"/>
      <c r="FBM493" s="106"/>
      <c r="FBN493" s="106"/>
      <c r="FBO493" s="106"/>
      <c r="FBP493" s="106"/>
      <c r="FBQ493" s="106"/>
      <c r="FBR493" s="106"/>
      <c r="FBS493" s="106"/>
      <c r="FBT493" s="106"/>
      <c r="FBU493" s="106"/>
      <c r="FBV493" s="106"/>
      <c r="FBW493" s="106"/>
      <c r="FBX493" s="106"/>
      <c r="FBY493" s="106"/>
      <c r="FBZ493" s="106"/>
      <c r="FCA493" s="106"/>
      <c r="FCB493" s="106"/>
      <c r="FCC493" s="106"/>
      <c r="FCD493" s="106"/>
      <c r="FCE493" s="106"/>
      <c r="FCF493" s="106"/>
      <c r="FCG493" s="106"/>
      <c r="FCH493" s="106"/>
      <c r="FCI493" s="106"/>
      <c r="FCJ493" s="106"/>
      <c r="FCK493" s="106"/>
      <c r="FCL493" s="106"/>
      <c r="FCM493" s="106"/>
      <c r="FCN493" s="106"/>
      <c r="FCO493" s="106"/>
      <c r="FCP493" s="106"/>
      <c r="FCQ493" s="106"/>
      <c r="FCR493" s="106"/>
      <c r="FCS493" s="106"/>
      <c r="FCT493" s="106"/>
      <c r="FCU493" s="106"/>
      <c r="FCV493" s="106"/>
      <c r="FCW493" s="106"/>
      <c r="FCX493" s="106"/>
      <c r="FCY493" s="106"/>
      <c r="FCZ493" s="106"/>
      <c r="FDA493" s="106"/>
      <c r="FDB493" s="106"/>
      <c r="FDC493" s="106"/>
      <c r="FDD493" s="106"/>
      <c r="FDE493" s="106"/>
      <c r="FDF493" s="106"/>
      <c r="FDG493" s="106"/>
      <c r="FDH493" s="106"/>
      <c r="FDI493" s="106"/>
      <c r="FDJ493" s="106"/>
      <c r="FDK493" s="106"/>
      <c r="FDL493" s="106"/>
      <c r="FDM493" s="106"/>
      <c r="FDN493" s="106"/>
      <c r="FDO493" s="106"/>
      <c r="FDP493" s="106"/>
      <c r="FDQ493" s="106"/>
      <c r="FDR493" s="106"/>
      <c r="FDS493" s="106"/>
      <c r="FDT493" s="106"/>
      <c r="FDU493" s="106"/>
      <c r="FDV493" s="106"/>
      <c r="FDW493" s="106"/>
      <c r="FDX493" s="106"/>
      <c r="FDY493" s="106"/>
      <c r="FDZ493" s="106"/>
      <c r="FEA493" s="106"/>
      <c r="FEB493" s="106"/>
      <c r="FEC493" s="106"/>
      <c r="FED493" s="106"/>
      <c r="FEE493" s="106"/>
      <c r="FEF493" s="106"/>
      <c r="FEG493" s="106"/>
      <c r="FEH493" s="106"/>
      <c r="FEI493" s="106"/>
      <c r="FEJ493" s="106"/>
      <c r="FEK493" s="106"/>
      <c r="FEL493" s="106"/>
      <c r="FEM493" s="106"/>
      <c r="FEN493" s="106"/>
      <c r="FEO493" s="106"/>
      <c r="FEP493" s="106"/>
      <c r="FEQ493" s="106"/>
      <c r="FER493" s="106"/>
      <c r="FES493" s="106"/>
      <c r="FET493" s="106"/>
      <c r="FEU493" s="106"/>
      <c r="FEV493" s="106"/>
      <c r="FEW493" s="106"/>
      <c r="FEX493" s="106"/>
      <c r="FEY493" s="106"/>
      <c r="FEZ493" s="106"/>
      <c r="FFA493" s="106"/>
      <c r="FFB493" s="106"/>
      <c r="FFC493" s="106"/>
      <c r="FFD493" s="106"/>
      <c r="FFE493" s="106"/>
      <c r="FFF493" s="106"/>
      <c r="FFG493" s="106"/>
      <c r="FFH493" s="106"/>
      <c r="FFI493" s="106"/>
      <c r="FFJ493" s="106"/>
      <c r="FFK493" s="106"/>
      <c r="FFL493" s="106"/>
      <c r="FFM493" s="106"/>
      <c r="FFN493" s="106"/>
      <c r="FFO493" s="106"/>
      <c r="FFP493" s="106"/>
      <c r="FFQ493" s="106"/>
      <c r="FFR493" s="106"/>
      <c r="FFS493" s="106"/>
      <c r="FFT493" s="106"/>
      <c r="FFU493" s="106"/>
      <c r="FFV493" s="106"/>
      <c r="FFW493" s="106"/>
      <c r="FFX493" s="106"/>
      <c r="FFY493" s="106"/>
      <c r="FFZ493" s="106"/>
      <c r="FGA493" s="106"/>
      <c r="FGB493" s="106"/>
      <c r="FGC493" s="106"/>
      <c r="FGD493" s="106"/>
      <c r="FGE493" s="106"/>
      <c r="FGF493" s="106"/>
      <c r="FGG493" s="106"/>
      <c r="FGH493" s="106"/>
      <c r="FGI493" s="106"/>
      <c r="FGJ493" s="106"/>
      <c r="FGK493" s="106"/>
      <c r="FGL493" s="106"/>
      <c r="FGM493" s="106"/>
      <c r="FGN493" s="106"/>
      <c r="FGO493" s="106"/>
      <c r="FGP493" s="106"/>
      <c r="FGQ493" s="106"/>
      <c r="FGR493" s="106"/>
      <c r="FGS493" s="106"/>
      <c r="FGT493" s="106"/>
      <c r="FGU493" s="106"/>
      <c r="FGV493" s="106"/>
      <c r="FGW493" s="106"/>
      <c r="FGX493" s="106"/>
      <c r="FGY493" s="106"/>
      <c r="FGZ493" s="106"/>
      <c r="FHA493" s="106"/>
      <c r="FHB493" s="106"/>
      <c r="FHC493" s="106"/>
      <c r="FHD493" s="106"/>
      <c r="FHE493" s="106"/>
      <c r="FHF493" s="106"/>
      <c r="FHG493" s="106"/>
      <c r="FHH493" s="106"/>
      <c r="FHI493" s="106"/>
      <c r="FHJ493" s="106"/>
      <c r="FHK493" s="106"/>
      <c r="FHL493" s="106"/>
      <c r="FHM493" s="106"/>
      <c r="FHN493" s="106"/>
      <c r="FHO493" s="106"/>
      <c r="FHP493" s="106"/>
      <c r="FHQ493" s="106"/>
      <c r="FHR493" s="106"/>
      <c r="FHS493" s="106"/>
      <c r="FHT493" s="106"/>
      <c r="FHU493" s="106"/>
      <c r="FHV493" s="106"/>
      <c r="FHW493" s="106"/>
      <c r="FHX493" s="106"/>
      <c r="FHY493" s="106"/>
      <c r="FHZ493" s="106"/>
      <c r="FIA493" s="106"/>
      <c r="FIB493" s="106"/>
      <c r="FIC493" s="106"/>
      <c r="FID493" s="106"/>
      <c r="FIE493" s="106"/>
      <c r="FIF493" s="106"/>
      <c r="FIG493" s="106"/>
      <c r="FIH493" s="106"/>
      <c r="FII493" s="106"/>
      <c r="FIJ493" s="106"/>
      <c r="FIK493" s="106"/>
      <c r="FIL493" s="106"/>
      <c r="FIM493" s="106"/>
      <c r="FIN493" s="106"/>
      <c r="FIO493" s="106"/>
      <c r="FIP493" s="106"/>
      <c r="FIQ493" s="106"/>
      <c r="FIR493" s="106"/>
      <c r="FIS493" s="106"/>
      <c r="FIT493" s="106"/>
      <c r="FIU493" s="106"/>
      <c r="FIV493" s="106"/>
      <c r="FIW493" s="106"/>
      <c r="FIX493" s="106"/>
      <c r="FIY493" s="106"/>
      <c r="FIZ493" s="106"/>
      <c r="FJA493" s="106"/>
      <c r="FJB493" s="106"/>
      <c r="FJC493" s="106"/>
      <c r="FJD493" s="106"/>
      <c r="FJE493" s="106"/>
      <c r="FJF493" s="106"/>
      <c r="FJG493" s="106"/>
      <c r="FJH493" s="106"/>
      <c r="FJI493" s="106"/>
      <c r="FJJ493" s="106"/>
      <c r="FJK493" s="106"/>
      <c r="FJL493" s="106"/>
      <c r="FJM493" s="106"/>
      <c r="FJN493" s="106"/>
      <c r="FJO493" s="106"/>
      <c r="FJP493" s="106"/>
      <c r="FJQ493" s="106"/>
      <c r="FJR493" s="106"/>
      <c r="FJS493" s="106"/>
      <c r="FJT493" s="106"/>
      <c r="FJU493" s="106"/>
      <c r="FJV493" s="106"/>
      <c r="FJW493" s="106"/>
      <c r="FJX493" s="106"/>
      <c r="FJY493" s="106"/>
      <c r="FJZ493" s="106"/>
      <c r="FKA493" s="106"/>
      <c r="FKB493" s="106"/>
      <c r="FKC493" s="106"/>
      <c r="FKD493" s="106"/>
      <c r="FKE493" s="106"/>
      <c r="FKF493" s="106"/>
      <c r="FKG493" s="106"/>
      <c r="FKH493" s="106"/>
      <c r="FKI493" s="106"/>
      <c r="FKJ493" s="106"/>
      <c r="FKK493" s="106"/>
      <c r="FKL493" s="106"/>
      <c r="FKM493" s="106"/>
      <c r="FKN493" s="106"/>
      <c r="FKO493" s="106"/>
      <c r="FKP493" s="106"/>
      <c r="FKQ493" s="106"/>
      <c r="FKR493" s="106"/>
      <c r="FKS493" s="106"/>
      <c r="FKT493" s="106"/>
      <c r="FKU493" s="106"/>
      <c r="FKV493" s="106"/>
      <c r="FKW493" s="106"/>
      <c r="FKX493" s="106"/>
      <c r="FKY493" s="106"/>
      <c r="FKZ493" s="106"/>
      <c r="FLA493" s="106"/>
      <c r="FLB493" s="106"/>
      <c r="FLC493" s="106"/>
      <c r="FLD493" s="106"/>
      <c r="FLE493" s="106"/>
      <c r="FLF493" s="106"/>
      <c r="FLG493" s="106"/>
      <c r="FLH493" s="106"/>
      <c r="FLI493" s="106"/>
      <c r="FLJ493" s="106"/>
      <c r="FLK493" s="106"/>
      <c r="FLL493" s="106"/>
      <c r="FLM493" s="106"/>
      <c r="FLN493" s="106"/>
      <c r="FLO493" s="106"/>
      <c r="FLP493" s="106"/>
      <c r="FLQ493" s="106"/>
      <c r="FLR493" s="106"/>
      <c r="FLS493" s="106"/>
      <c r="FLT493" s="106"/>
      <c r="FLU493" s="106"/>
      <c r="FLV493" s="106"/>
      <c r="FLW493" s="106"/>
      <c r="FLX493" s="106"/>
      <c r="FLY493" s="106"/>
      <c r="FLZ493" s="106"/>
      <c r="FMA493" s="106"/>
      <c r="FMB493" s="106"/>
      <c r="FMC493" s="106"/>
      <c r="FMD493" s="106"/>
      <c r="FME493" s="106"/>
      <c r="FMF493" s="106"/>
      <c r="FMG493" s="106"/>
      <c r="FMH493" s="106"/>
      <c r="FMI493" s="106"/>
      <c r="FMJ493" s="106"/>
      <c r="FMK493" s="106"/>
      <c r="FML493" s="106"/>
      <c r="FMM493" s="106"/>
      <c r="FMN493" s="106"/>
      <c r="FMO493" s="106"/>
      <c r="FMP493" s="106"/>
      <c r="FMQ493" s="106"/>
      <c r="FMR493" s="106"/>
      <c r="FMS493" s="106"/>
      <c r="FMT493" s="106"/>
      <c r="FMU493" s="106"/>
      <c r="FMV493" s="106"/>
      <c r="FMW493" s="106"/>
      <c r="FMX493" s="106"/>
      <c r="FMY493" s="106"/>
      <c r="FMZ493" s="106"/>
      <c r="FNA493" s="106"/>
      <c r="FNB493" s="106"/>
      <c r="FNC493" s="106"/>
      <c r="FND493" s="106"/>
      <c r="FNE493" s="106"/>
      <c r="FNF493" s="106"/>
      <c r="FNG493" s="106"/>
      <c r="FNH493" s="106"/>
      <c r="FNI493" s="106"/>
      <c r="FNJ493" s="106"/>
      <c r="FNK493" s="106"/>
      <c r="FNL493" s="106"/>
      <c r="FNM493" s="106"/>
      <c r="FNN493" s="106"/>
      <c r="FNO493" s="106"/>
      <c r="FNP493" s="106"/>
      <c r="FNQ493" s="106"/>
      <c r="FNR493" s="106"/>
      <c r="FNS493" s="106"/>
      <c r="FNT493" s="106"/>
      <c r="FNU493" s="106"/>
      <c r="FNV493" s="106"/>
      <c r="FNW493" s="106"/>
      <c r="FNX493" s="106"/>
      <c r="FNY493" s="106"/>
      <c r="FNZ493" s="106"/>
      <c r="FOA493" s="106"/>
      <c r="FOB493" s="106"/>
      <c r="FOC493" s="106"/>
      <c r="FOD493" s="106"/>
      <c r="FOE493" s="106"/>
      <c r="FOF493" s="106"/>
      <c r="FOG493" s="106"/>
      <c r="FOH493" s="106"/>
      <c r="FOI493" s="106"/>
      <c r="FOJ493" s="106"/>
      <c r="FOK493" s="106"/>
      <c r="FOL493" s="106"/>
      <c r="FOM493" s="106"/>
      <c r="FON493" s="106"/>
      <c r="FOO493" s="106"/>
      <c r="FOP493" s="106"/>
      <c r="FOQ493" s="106"/>
      <c r="FOR493" s="106"/>
      <c r="FOS493" s="106"/>
      <c r="FOT493" s="106"/>
      <c r="FOU493" s="106"/>
      <c r="FOV493" s="106"/>
      <c r="FOW493" s="106"/>
      <c r="FOX493" s="106"/>
      <c r="FOY493" s="106"/>
      <c r="FOZ493" s="106"/>
      <c r="FPA493" s="106"/>
      <c r="FPB493" s="106"/>
      <c r="FPC493" s="106"/>
      <c r="FPD493" s="106"/>
      <c r="FPE493" s="106"/>
      <c r="FPF493" s="106"/>
      <c r="FPG493" s="106"/>
      <c r="FPH493" s="106"/>
      <c r="FPI493" s="106"/>
      <c r="FPJ493" s="106"/>
      <c r="FPK493" s="106"/>
      <c r="FPL493" s="106"/>
      <c r="FPM493" s="106"/>
      <c r="FPN493" s="106"/>
      <c r="FPO493" s="106"/>
      <c r="FPP493" s="106"/>
      <c r="FPQ493" s="106"/>
      <c r="FPR493" s="106"/>
      <c r="FPS493" s="106"/>
      <c r="FPT493" s="106"/>
      <c r="FPU493" s="106"/>
      <c r="FPV493" s="106"/>
      <c r="FPW493" s="106"/>
      <c r="FPX493" s="106"/>
      <c r="FPY493" s="106"/>
      <c r="FPZ493" s="106"/>
      <c r="FQA493" s="106"/>
      <c r="FQB493" s="106"/>
      <c r="FQC493" s="106"/>
      <c r="FQD493" s="106"/>
      <c r="FQE493" s="106"/>
      <c r="FQF493" s="106"/>
      <c r="FQG493" s="106"/>
      <c r="FQH493" s="106"/>
      <c r="FQI493" s="106"/>
      <c r="FQJ493" s="106"/>
      <c r="FQK493" s="106"/>
      <c r="FQL493" s="106"/>
      <c r="FQM493" s="106"/>
      <c r="FQN493" s="106"/>
      <c r="FQO493" s="106"/>
      <c r="FQP493" s="106"/>
      <c r="FQQ493" s="106"/>
      <c r="FQR493" s="106"/>
      <c r="FQS493" s="106"/>
      <c r="FQT493" s="106"/>
      <c r="FQU493" s="106"/>
      <c r="FQV493" s="106"/>
      <c r="FQW493" s="106"/>
      <c r="FQX493" s="106"/>
      <c r="FQY493" s="106"/>
      <c r="FQZ493" s="106"/>
      <c r="FRA493" s="106"/>
      <c r="FRB493" s="106"/>
      <c r="FRC493" s="106"/>
      <c r="FRD493" s="106"/>
      <c r="FRE493" s="106"/>
      <c r="FRF493" s="106"/>
      <c r="FRG493" s="106"/>
      <c r="FRH493" s="106"/>
      <c r="FRI493" s="106"/>
      <c r="FRJ493" s="106"/>
      <c r="FRK493" s="106"/>
      <c r="FRL493" s="106"/>
      <c r="FRM493" s="106"/>
      <c r="FRN493" s="106"/>
      <c r="FRO493" s="106"/>
      <c r="FRP493" s="106"/>
      <c r="FRQ493" s="106"/>
      <c r="FRR493" s="106"/>
      <c r="FRS493" s="106"/>
      <c r="FRT493" s="106"/>
      <c r="FRU493" s="106"/>
      <c r="FRV493" s="106"/>
      <c r="FRW493" s="106"/>
      <c r="FRX493" s="106"/>
      <c r="FRY493" s="106"/>
      <c r="FRZ493" s="106"/>
      <c r="FSA493" s="106"/>
      <c r="FSB493" s="106"/>
      <c r="FSC493" s="106"/>
      <c r="FSD493" s="106"/>
      <c r="FSE493" s="106"/>
      <c r="FSF493" s="106"/>
      <c r="FSG493" s="106"/>
      <c r="FSH493" s="106"/>
      <c r="FSI493" s="106"/>
      <c r="FSJ493" s="106"/>
      <c r="FSK493" s="106"/>
      <c r="FSL493" s="106"/>
      <c r="FSM493" s="106"/>
      <c r="FSN493" s="106"/>
      <c r="FSO493" s="106"/>
      <c r="FSP493" s="106"/>
      <c r="FSQ493" s="106"/>
      <c r="FSR493" s="106"/>
      <c r="FSS493" s="106"/>
      <c r="FST493" s="106"/>
      <c r="FSU493" s="106"/>
      <c r="FSV493" s="106"/>
      <c r="FSW493" s="106"/>
      <c r="FSX493" s="106"/>
      <c r="FSY493" s="106"/>
      <c r="FSZ493" s="106"/>
      <c r="FTA493" s="106"/>
      <c r="FTB493" s="106"/>
      <c r="FTC493" s="106"/>
      <c r="FTD493" s="106"/>
      <c r="FTE493" s="106"/>
      <c r="FTF493" s="106"/>
      <c r="FTG493" s="106"/>
      <c r="FTH493" s="106"/>
      <c r="FTI493" s="106"/>
      <c r="FTJ493" s="106"/>
      <c r="FTK493" s="106"/>
      <c r="FTL493" s="106"/>
      <c r="FTM493" s="106"/>
      <c r="FTN493" s="106"/>
      <c r="FTO493" s="106"/>
      <c r="FTP493" s="106"/>
      <c r="FTQ493" s="106"/>
      <c r="FTR493" s="106"/>
      <c r="FTS493" s="106"/>
      <c r="FTT493" s="106"/>
      <c r="FTU493" s="106"/>
      <c r="FTV493" s="106"/>
      <c r="FTW493" s="106"/>
      <c r="FTX493" s="106"/>
      <c r="FTY493" s="106"/>
      <c r="FTZ493" s="106"/>
      <c r="FUA493" s="106"/>
      <c r="FUB493" s="106"/>
      <c r="FUC493" s="106"/>
      <c r="FUD493" s="106"/>
      <c r="FUE493" s="106"/>
      <c r="FUF493" s="106"/>
      <c r="FUG493" s="106"/>
      <c r="FUH493" s="106"/>
      <c r="FUI493" s="106"/>
      <c r="FUJ493" s="106"/>
      <c r="FUK493" s="106"/>
      <c r="FUL493" s="106"/>
      <c r="FUM493" s="106"/>
      <c r="FUN493" s="106"/>
      <c r="FUO493" s="106"/>
      <c r="FUP493" s="106"/>
      <c r="FUQ493" s="106"/>
      <c r="FUR493" s="106"/>
      <c r="FUS493" s="106"/>
      <c r="FUT493" s="106"/>
      <c r="FUU493" s="106"/>
      <c r="FUV493" s="106"/>
      <c r="FUW493" s="106"/>
      <c r="FUX493" s="106"/>
      <c r="FUY493" s="106"/>
      <c r="FUZ493" s="106"/>
      <c r="FVA493" s="106"/>
      <c r="FVB493" s="106"/>
      <c r="FVC493" s="106"/>
      <c r="FVD493" s="106"/>
      <c r="FVE493" s="106"/>
      <c r="FVF493" s="106"/>
      <c r="FVG493" s="106"/>
      <c r="FVH493" s="106"/>
      <c r="FVI493" s="106"/>
      <c r="FVJ493" s="106"/>
      <c r="FVK493" s="106"/>
      <c r="FVL493" s="106"/>
      <c r="FVM493" s="106"/>
      <c r="FVN493" s="106"/>
      <c r="FVO493" s="106"/>
      <c r="FVP493" s="106"/>
      <c r="FVQ493" s="106"/>
      <c r="FVR493" s="106"/>
      <c r="FVS493" s="106"/>
      <c r="FVT493" s="106"/>
      <c r="FVU493" s="106"/>
      <c r="FVV493" s="106"/>
      <c r="FVW493" s="106"/>
      <c r="FVX493" s="106"/>
      <c r="FVY493" s="106"/>
      <c r="FVZ493" s="106"/>
      <c r="FWA493" s="106"/>
      <c r="FWB493" s="106"/>
      <c r="FWC493" s="106"/>
      <c r="FWD493" s="106"/>
      <c r="FWE493" s="106"/>
      <c r="FWF493" s="106"/>
      <c r="FWG493" s="106"/>
      <c r="FWH493" s="106"/>
      <c r="FWI493" s="106"/>
      <c r="FWJ493" s="106"/>
      <c r="FWK493" s="106"/>
      <c r="FWL493" s="106"/>
      <c r="FWM493" s="106"/>
      <c r="FWN493" s="106"/>
      <c r="FWO493" s="106"/>
      <c r="FWP493" s="106"/>
      <c r="FWQ493" s="106"/>
      <c r="FWR493" s="106"/>
      <c r="FWS493" s="106"/>
      <c r="FWT493" s="106"/>
      <c r="FWU493" s="106"/>
      <c r="FWV493" s="106"/>
      <c r="FWW493" s="106"/>
      <c r="FWX493" s="106"/>
      <c r="FWY493" s="106"/>
      <c r="FWZ493" s="106"/>
      <c r="FXA493" s="106"/>
      <c r="FXB493" s="106"/>
      <c r="FXC493" s="106"/>
      <c r="FXD493" s="106"/>
      <c r="FXE493" s="106"/>
      <c r="FXF493" s="106"/>
      <c r="FXG493" s="106"/>
      <c r="FXH493" s="106"/>
      <c r="FXI493" s="106"/>
      <c r="FXJ493" s="106"/>
      <c r="FXK493" s="106"/>
      <c r="FXL493" s="106"/>
      <c r="FXM493" s="106"/>
      <c r="FXN493" s="106"/>
      <c r="FXO493" s="106"/>
      <c r="FXP493" s="106"/>
      <c r="FXQ493" s="106"/>
      <c r="FXR493" s="106"/>
      <c r="FXS493" s="106"/>
      <c r="FXT493" s="106"/>
      <c r="FXU493" s="106"/>
      <c r="FXV493" s="106"/>
      <c r="FXW493" s="106"/>
      <c r="FXX493" s="106"/>
      <c r="FXY493" s="106"/>
      <c r="FXZ493" s="106"/>
      <c r="FYA493" s="106"/>
      <c r="FYB493" s="106"/>
      <c r="FYC493" s="106"/>
      <c r="FYD493" s="106"/>
      <c r="FYE493" s="106"/>
      <c r="FYF493" s="106"/>
      <c r="FYG493" s="106"/>
      <c r="FYH493" s="106"/>
      <c r="FYI493" s="106"/>
      <c r="FYJ493" s="106"/>
      <c r="FYK493" s="106"/>
      <c r="FYL493" s="106"/>
      <c r="FYM493" s="106"/>
      <c r="FYN493" s="106"/>
      <c r="FYO493" s="106"/>
      <c r="FYP493" s="106"/>
      <c r="FYQ493" s="106"/>
      <c r="FYR493" s="106"/>
      <c r="FYS493" s="106"/>
      <c r="FYT493" s="106"/>
      <c r="FYU493" s="106"/>
      <c r="FYV493" s="106"/>
      <c r="FYW493" s="106"/>
      <c r="FYX493" s="106"/>
      <c r="FYY493" s="106"/>
      <c r="FYZ493" s="106"/>
      <c r="FZA493" s="106"/>
      <c r="FZB493" s="106"/>
      <c r="FZC493" s="106"/>
      <c r="FZD493" s="106"/>
      <c r="FZE493" s="106"/>
      <c r="FZF493" s="106"/>
      <c r="FZG493" s="106"/>
      <c r="FZH493" s="106"/>
      <c r="FZI493" s="106"/>
      <c r="FZJ493" s="106"/>
      <c r="FZK493" s="106"/>
      <c r="FZL493" s="106"/>
      <c r="FZM493" s="106"/>
      <c r="FZN493" s="106"/>
      <c r="FZO493" s="106"/>
      <c r="FZP493" s="106"/>
      <c r="FZQ493" s="106"/>
      <c r="FZR493" s="106"/>
      <c r="FZS493" s="106"/>
      <c r="FZT493" s="106"/>
      <c r="FZU493" s="106"/>
      <c r="FZV493" s="106"/>
      <c r="FZW493" s="106"/>
      <c r="FZX493" s="106"/>
      <c r="FZY493" s="106"/>
      <c r="FZZ493" s="106"/>
      <c r="GAA493" s="106"/>
      <c r="GAB493" s="106"/>
      <c r="GAC493" s="106"/>
      <c r="GAD493" s="106"/>
      <c r="GAE493" s="106"/>
      <c r="GAF493" s="106"/>
      <c r="GAG493" s="106"/>
      <c r="GAH493" s="106"/>
      <c r="GAI493" s="106"/>
      <c r="GAJ493" s="106"/>
      <c r="GAK493" s="106"/>
      <c r="GAL493" s="106"/>
      <c r="GAM493" s="106"/>
      <c r="GAN493" s="106"/>
      <c r="GAO493" s="106"/>
      <c r="GAP493" s="106"/>
      <c r="GAQ493" s="106"/>
      <c r="GAR493" s="106"/>
      <c r="GAS493" s="106"/>
      <c r="GAT493" s="106"/>
      <c r="GAU493" s="106"/>
      <c r="GAV493" s="106"/>
      <c r="GAW493" s="106"/>
      <c r="GAX493" s="106"/>
      <c r="GAY493" s="106"/>
      <c r="GAZ493" s="106"/>
      <c r="GBA493" s="106"/>
      <c r="GBB493" s="106"/>
      <c r="GBC493" s="106"/>
      <c r="GBD493" s="106"/>
      <c r="GBE493" s="106"/>
      <c r="GBF493" s="106"/>
      <c r="GBG493" s="106"/>
      <c r="GBH493" s="106"/>
      <c r="GBI493" s="106"/>
      <c r="GBJ493" s="106"/>
      <c r="GBK493" s="106"/>
      <c r="GBL493" s="106"/>
      <c r="GBM493" s="106"/>
      <c r="GBN493" s="106"/>
      <c r="GBO493" s="106"/>
      <c r="GBP493" s="106"/>
      <c r="GBQ493" s="106"/>
      <c r="GBR493" s="106"/>
      <c r="GBS493" s="106"/>
      <c r="GBT493" s="106"/>
      <c r="GBU493" s="106"/>
      <c r="GBV493" s="106"/>
      <c r="GBW493" s="106"/>
      <c r="GBX493" s="106"/>
      <c r="GBY493" s="106"/>
      <c r="GBZ493" s="106"/>
      <c r="GCA493" s="106"/>
      <c r="GCB493" s="106"/>
      <c r="GCC493" s="106"/>
      <c r="GCD493" s="106"/>
      <c r="GCE493" s="106"/>
      <c r="GCF493" s="106"/>
      <c r="GCG493" s="106"/>
      <c r="GCH493" s="106"/>
      <c r="GCI493" s="106"/>
      <c r="GCJ493" s="106"/>
      <c r="GCK493" s="106"/>
      <c r="GCL493" s="106"/>
      <c r="GCM493" s="106"/>
      <c r="GCN493" s="106"/>
      <c r="GCO493" s="106"/>
      <c r="GCP493" s="106"/>
      <c r="GCQ493" s="106"/>
      <c r="GCR493" s="106"/>
      <c r="GCS493" s="106"/>
      <c r="GCT493" s="106"/>
      <c r="GCU493" s="106"/>
      <c r="GCV493" s="106"/>
      <c r="GCW493" s="106"/>
      <c r="GCX493" s="106"/>
      <c r="GCY493" s="106"/>
      <c r="GCZ493" s="106"/>
      <c r="GDA493" s="106"/>
      <c r="GDB493" s="106"/>
      <c r="GDC493" s="106"/>
      <c r="GDD493" s="106"/>
      <c r="GDE493" s="106"/>
      <c r="GDF493" s="106"/>
      <c r="GDG493" s="106"/>
      <c r="GDH493" s="106"/>
      <c r="GDI493" s="106"/>
      <c r="GDJ493" s="106"/>
      <c r="GDK493" s="106"/>
      <c r="GDL493" s="106"/>
      <c r="GDM493" s="106"/>
      <c r="GDN493" s="106"/>
      <c r="GDO493" s="106"/>
      <c r="GDP493" s="106"/>
      <c r="GDQ493" s="106"/>
      <c r="GDR493" s="106"/>
      <c r="GDS493" s="106"/>
      <c r="GDT493" s="106"/>
      <c r="GDU493" s="106"/>
      <c r="GDV493" s="106"/>
      <c r="GDW493" s="106"/>
      <c r="GDX493" s="106"/>
      <c r="GDY493" s="106"/>
      <c r="GDZ493" s="106"/>
      <c r="GEA493" s="106"/>
      <c r="GEB493" s="106"/>
      <c r="GEC493" s="106"/>
      <c r="GED493" s="106"/>
      <c r="GEE493" s="106"/>
      <c r="GEF493" s="106"/>
      <c r="GEG493" s="106"/>
      <c r="GEH493" s="106"/>
      <c r="GEI493" s="106"/>
      <c r="GEJ493" s="106"/>
      <c r="GEK493" s="106"/>
      <c r="GEL493" s="106"/>
      <c r="GEM493" s="106"/>
      <c r="GEN493" s="106"/>
      <c r="GEO493" s="106"/>
      <c r="GEP493" s="106"/>
      <c r="GEQ493" s="106"/>
      <c r="GER493" s="106"/>
      <c r="GES493" s="106"/>
      <c r="GET493" s="106"/>
      <c r="GEU493" s="106"/>
      <c r="GEV493" s="106"/>
      <c r="GEW493" s="106"/>
      <c r="GEX493" s="106"/>
      <c r="GEY493" s="106"/>
      <c r="GEZ493" s="106"/>
      <c r="GFA493" s="106"/>
      <c r="GFB493" s="106"/>
      <c r="GFC493" s="106"/>
      <c r="GFD493" s="106"/>
      <c r="GFE493" s="106"/>
      <c r="GFF493" s="106"/>
      <c r="GFG493" s="106"/>
      <c r="GFH493" s="106"/>
      <c r="GFI493" s="106"/>
      <c r="GFJ493" s="106"/>
      <c r="GFK493" s="106"/>
      <c r="GFL493" s="106"/>
      <c r="GFM493" s="106"/>
      <c r="GFN493" s="106"/>
      <c r="GFO493" s="106"/>
      <c r="GFP493" s="106"/>
      <c r="GFQ493" s="106"/>
      <c r="GFR493" s="106"/>
      <c r="GFS493" s="106"/>
      <c r="GFT493" s="106"/>
      <c r="GFU493" s="106"/>
      <c r="GFV493" s="106"/>
      <c r="GFW493" s="106"/>
      <c r="GFX493" s="106"/>
      <c r="GFY493" s="106"/>
      <c r="GFZ493" s="106"/>
      <c r="GGA493" s="106"/>
      <c r="GGB493" s="106"/>
      <c r="GGC493" s="106"/>
      <c r="GGD493" s="106"/>
      <c r="GGE493" s="106"/>
      <c r="GGF493" s="106"/>
      <c r="GGG493" s="106"/>
      <c r="GGH493" s="106"/>
      <c r="GGI493" s="106"/>
      <c r="GGJ493" s="106"/>
      <c r="GGK493" s="106"/>
      <c r="GGL493" s="106"/>
      <c r="GGM493" s="106"/>
      <c r="GGN493" s="106"/>
      <c r="GGO493" s="106"/>
      <c r="GGP493" s="106"/>
      <c r="GGQ493" s="106"/>
      <c r="GGR493" s="106"/>
      <c r="GGS493" s="106"/>
      <c r="GGT493" s="106"/>
      <c r="GGU493" s="106"/>
      <c r="GGV493" s="106"/>
      <c r="GGW493" s="106"/>
      <c r="GGX493" s="106"/>
      <c r="GGY493" s="106"/>
      <c r="GGZ493" s="106"/>
      <c r="GHA493" s="106"/>
      <c r="GHB493" s="106"/>
      <c r="GHC493" s="106"/>
      <c r="GHD493" s="106"/>
      <c r="GHE493" s="106"/>
      <c r="GHF493" s="106"/>
      <c r="GHG493" s="106"/>
      <c r="GHH493" s="106"/>
      <c r="GHI493" s="106"/>
      <c r="GHJ493" s="106"/>
      <c r="GHK493" s="106"/>
      <c r="GHL493" s="106"/>
      <c r="GHM493" s="106"/>
      <c r="GHN493" s="106"/>
      <c r="GHO493" s="106"/>
      <c r="GHP493" s="106"/>
      <c r="GHQ493" s="106"/>
      <c r="GHR493" s="106"/>
      <c r="GHS493" s="106"/>
      <c r="GHT493" s="106"/>
      <c r="GHU493" s="106"/>
      <c r="GHV493" s="106"/>
      <c r="GHW493" s="106"/>
      <c r="GHX493" s="106"/>
      <c r="GHY493" s="106"/>
      <c r="GHZ493" s="106"/>
      <c r="GIA493" s="106"/>
      <c r="GIB493" s="106"/>
      <c r="GIC493" s="106"/>
      <c r="GID493" s="106"/>
      <c r="GIE493" s="106"/>
      <c r="GIF493" s="106"/>
      <c r="GIG493" s="106"/>
      <c r="GIH493" s="106"/>
      <c r="GII493" s="106"/>
      <c r="GIJ493" s="106"/>
      <c r="GIK493" s="106"/>
      <c r="GIL493" s="106"/>
      <c r="GIM493" s="106"/>
      <c r="GIN493" s="106"/>
      <c r="GIO493" s="106"/>
      <c r="GIP493" s="106"/>
      <c r="GIQ493" s="106"/>
      <c r="GIR493" s="106"/>
      <c r="GIS493" s="106"/>
      <c r="GIT493" s="106"/>
      <c r="GIU493" s="106"/>
      <c r="GIV493" s="106"/>
      <c r="GIW493" s="106"/>
      <c r="GIX493" s="106"/>
      <c r="GIY493" s="106"/>
      <c r="GIZ493" s="106"/>
      <c r="GJA493" s="106"/>
      <c r="GJB493" s="106"/>
      <c r="GJC493" s="106"/>
      <c r="GJD493" s="106"/>
      <c r="GJE493" s="106"/>
      <c r="GJF493" s="106"/>
      <c r="GJG493" s="106"/>
      <c r="GJH493" s="106"/>
      <c r="GJI493" s="106"/>
      <c r="GJJ493" s="106"/>
      <c r="GJK493" s="106"/>
      <c r="GJL493" s="106"/>
      <c r="GJM493" s="106"/>
      <c r="GJN493" s="106"/>
      <c r="GJO493" s="106"/>
      <c r="GJP493" s="106"/>
      <c r="GJQ493" s="106"/>
      <c r="GJR493" s="106"/>
      <c r="GJS493" s="106"/>
      <c r="GJT493" s="106"/>
      <c r="GJU493" s="106"/>
      <c r="GJV493" s="106"/>
      <c r="GJW493" s="106"/>
      <c r="GJX493" s="106"/>
      <c r="GJY493" s="106"/>
      <c r="GJZ493" s="106"/>
      <c r="GKA493" s="106"/>
      <c r="GKB493" s="106"/>
      <c r="GKC493" s="106"/>
      <c r="GKD493" s="106"/>
      <c r="GKE493" s="106"/>
      <c r="GKF493" s="106"/>
      <c r="GKG493" s="106"/>
      <c r="GKH493" s="106"/>
      <c r="GKI493" s="106"/>
      <c r="GKJ493" s="106"/>
      <c r="GKK493" s="106"/>
      <c r="GKL493" s="106"/>
      <c r="GKM493" s="106"/>
      <c r="GKN493" s="106"/>
      <c r="GKO493" s="106"/>
      <c r="GKP493" s="106"/>
      <c r="GKQ493" s="106"/>
      <c r="GKR493" s="106"/>
      <c r="GKS493" s="106"/>
      <c r="GKT493" s="106"/>
      <c r="GKU493" s="106"/>
      <c r="GKV493" s="106"/>
      <c r="GKW493" s="106"/>
      <c r="GKX493" s="106"/>
      <c r="GKY493" s="106"/>
      <c r="GKZ493" s="106"/>
      <c r="GLA493" s="106"/>
      <c r="GLB493" s="106"/>
      <c r="GLC493" s="106"/>
      <c r="GLD493" s="106"/>
      <c r="GLE493" s="106"/>
      <c r="GLF493" s="106"/>
      <c r="GLG493" s="106"/>
      <c r="GLH493" s="106"/>
      <c r="GLI493" s="106"/>
      <c r="GLJ493" s="106"/>
      <c r="GLK493" s="106"/>
      <c r="GLL493" s="106"/>
      <c r="GLM493" s="106"/>
      <c r="GLN493" s="106"/>
      <c r="GLO493" s="106"/>
      <c r="GLP493" s="106"/>
      <c r="GLQ493" s="106"/>
      <c r="GLR493" s="106"/>
      <c r="GLS493" s="106"/>
      <c r="GLT493" s="106"/>
      <c r="GLU493" s="106"/>
      <c r="GLV493" s="106"/>
      <c r="GLW493" s="106"/>
      <c r="GLX493" s="106"/>
      <c r="GLY493" s="106"/>
      <c r="GLZ493" s="106"/>
      <c r="GMA493" s="106"/>
      <c r="GMB493" s="106"/>
      <c r="GMC493" s="106"/>
      <c r="GMD493" s="106"/>
      <c r="GME493" s="106"/>
      <c r="GMF493" s="106"/>
      <c r="GMG493" s="106"/>
      <c r="GMH493" s="106"/>
      <c r="GMI493" s="106"/>
      <c r="GMJ493" s="106"/>
      <c r="GMK493" s="106"/>
      <c r="GML493" s="106"/>
      <c r="GMM493" s="106"/>
      <c r="GMN493" s="106"/>
      <c r="GMO493" s="106"/>
      <c r="GMP493" s="106"/>
      <c r="GMQ493" s="106"/>
      <c r="GMR493" s="106"/>
      <c r="GMS493" s="106"/>
      <c r="GMT493" s="106"/>
      <c r="GMU493" s="106"/>
      <c r="GMV493" s="106"/>
      <c r="GMW493" s="106"/>
      <c r="GMX493" s="106"/>
      <c r="GMY493" s="106"/>
      <c r="GMZ493" s="106"/>
      <c r="GNA493" s="106"/>
      <c r="GNB493" s="106"/>
      <c r="GNC493" s="106"/>
      <c r="GND493" s="106"/>
      <c r="GNE493" s="106"/>
      <c r="GNF493" s="106"/>
      <c r="GNG493" s="106"/>
      <c r="GNH493" s="106"/>
      <c r="GNI493" s="106"/>
      <c r="GNJ493" s="106"/>
      <c r="GNK493" s="106"/>
      <c r="GNL493" s="106"/>
      <c r="GNM493" s="106"/>
      <c r="GNN493" s="106"/>
      <c r="GNO493" s="106"/>
      <c r="GNP493" s="106"/>
      <c r="GNQ493" s="106"/>
      <c r="GNR493" s="106"/>
      <c r="GNS493" s="106"/>
      <c r="GNT493" s="106"/>
      <c r="GNU493" s="106"/>
      <c r="GNV493" s="106"/>
      <c r="GNW493" s="106"/>
      <c r="GNX493" s="106"/>
      <c r="GNY493" s="106"/>
      <c r="GNZ493" s="106"/>
      <c r="GOA493" s="106"/>
      <c r="GOB493" s="106"/>
      <c r="GOC493" s="106"/>
      <c r="GOD493" s="106"/>
      <c r="GOE493" s="106"/>
      <c r="GOF493" s="106"/>
      <c r="GOG493" s="106"/>
      <c r="GOH493" s="106"/>
      <c r="GOI493" s="106"/>
      <c r="GOJ493" s="106"/>
      <c r="GOK493" s="106"/>
      <c r="GOL493" s="106"/>
      <c r="GOM493" s="106"/>
      <c r="GON493" s="106"/>
      <c r="GOO493" s="106"/>
      <c r="GOP493" s="106"/>
      <c r="GOQ493" s="106"/>
      <c r="GOR493" s="106"/>
      <c r="GOS493" s="106"/>
      <c r="GOT493" s="106"/>
      <c r="GOU493" s="106"/>
      <c r="GOV493" s="106"/>
      <c r="GOW493" s="106"/>
      <c r="GOX493" s="106"/>
      <c r="GOY493" s="106"/>
      <c r="GOZ493" s="106"/>
      <c r="GPA493" s="106"/>
      <c r="GPB493" s="106"/>
      <c r="GPC493" s="106"/>
      <c r="GPD493" s="106"/>
      <c r="GPE493" s="106"/>
      <c r="GPF493" s="106"/>
      <c r="GPG493" s="106"/>
      <c r="GPH493" s="106"/>
      <c r="GPI493" s="106"/>
      <c r="GPJ493" s="106"/>
      <c r="GPK493" s="106"/>
      <c r="GPL493" s="106"/>
      <c r="GPM493" s="106"/>
      <c r="GPN493" s="106"/>
      <c r="GPO493" s="106"/>
      <c r="GPP493" s="106"/>
      <c r="GPQ493" s="106"/>
      <c r="GPR493" s="106"/>
      <c r="GPS493" s="106"/>
      <c r="GPT493" s="106"/>
      <c r="GPU493" s="106"/>
      <c r="GPV493" s="106"/>
      <c r="GPW493" s="106"/>
      <c r="GPX493" s="106"/>
      <c r="GPY493" s="106"/>
      <c r="GPZ493" s="106"/>
      <c r="GQA493" s="106"/>
      <c r="GQB493" s="106"/>
      <c r="GQC493" s="106"/>
      <c r="GQD493" s="106"/>
      <c r="GQE493" s="106"/>
      <c r="GQF493" s="106"/>
      <c r="GQG493" s="106"/>
      <c r="GQH493" s="106"/>
      <c r="GQI493" s="106"/>
      <c r="GQJ493" s="106"/>
      <c r="GQK493" s="106"/>
      <c r="GQL493" s="106"/>
      <c r="GQM493" s="106"/>
      <c r="GQN493" s="106"/>
      <c r="GQO493" s="106"/>
      <c r="GQP493" s="106"/>
      <c r="GQQ493" s="106"/>
      <c r="GQR493" s="106"/>
      <c r="GQS493" s="106"/>
      <c r="GQT493" s="106"/>
      <c r="GQU493" s="106"/>
      <c r="GQV493" s="106"/>
      <c r="GQW493" s="106"/>
      <c r="GQX493" s="106"/>
      <c r="GQY493" s="106"/>
      <c r="GQZ493" s="106"/>
      <c r="GRA493" s="106"/>
      <c r="GRB493" s="106"/>
      <c r="GRC493" s="106"/>
      <c r="GRD493" s="106"/>
      <c r="GRE493" s="106"/>
      <c r="GRF493" s="106"/>
      <c r="GRG493" s="106"/>
      <c r="GRH493" s="106"/>
      <c r="GRI493" s="106"/>
      <c r="GRJ493" s="106"/>
      <c r="GRK493" s="106"/>
      <c r="GRL493" s="106"/>
      <c r="GRM493" s="106"/>
      <c r="GRN493" s="106"/>
      <c r="GRO493" s="106"/>
      <c r="GRP493" s="106"/>
      <c r="GRQ493" s="106"/>
      <c r="GRR493" s="106"/>
      <c r="GRS493" s="106"/>
      <c r="GRT493" s="106"/>
      <c r="GRU493" s="106"/>
      <c r="GRV493" s="106"/>
      <c r="GRW493" s="106"/>
      <c r="GRX493" s="106"/>
      <c r="GRY493" s="106"/>
      <c r="GRZ493" s="106"/>
      <c r="GSA493" s="106"/>
      <c r="GSB493" s="106"/>
      <c r="GSC493" s="106"/>
      <c r="GSD493" s="106"/>
      <c r="GSE493" s="106"/>
      <c r="GSF493" s="106"/>
      <c r="GSG493" s="106"/>
      <c r="GSH493" s="106"/>
      <c r="GSI493" s="106"/>
      <c r="GSJ493" s="106"/>
      <c r="GSK493" s="106"/>
      <c r="GSL493" s="106"/>
      <c r="GSM493" s="106"/>
      <c r="GSN493" s="106"/>
      <c r="GSO493" s="106"/>
      <c r="GSP493" s="106"/>
      <c r="GSQ493" s="106"/>
      <c r="GSR493" s="106"/>
      <c r="GSS493" s="106"/>
      <c r="GST493" s="106"/>
      <c r="GSU493" s="106"/>
      <c r="GSV493" s="106"/>
      <c r="GSW493" s="106"/>
      <c r="GSX493" s="106"/>
      <c r="GSY493" s="106"/>
      <c r="GSZ493" s="106"/>
      <c r="GTA493" s="106"/>
      <c r="GTB493" s="106"/>
      <c r="GTC493" s="106"/>
      <c r="GTD493" s="106"/>
      <c r="GTE493" s="106"/>
      <c r="GTF493" s="106"/>
      <c r="GTG493" s="106"/>
      <c r="GTH493" s="106"/>
      <c r="GTI493" s="106"/>
      <c r="GTJ493" s="106"/>
      <c r="GTK493" s="106"/>
      <c r="GTL493" s="106"/>
      <c r="GTM493" s="106"/>
      <c r="GTN493" s="106"/>
      <c r="GTO493" s="106"/>
      <c r="GTP493" s="106"/>
      <c r="GTQ493" s="106"/>
      <c r="GTR493" s="106"/>
      <c r="GTS493" s="106"/>
      <c r="GTT493" s="106"/>
      <c r="GTU493" s="106"/>
      <c r="GTV493" s="106"/>
      <c r="GTW493" s="106"/>
      <c r="GTX493" s="106"/>
      <c r="GTY493" s="106"/>
      <c r="GTZ493" s="106"/>
      <c r="GUA493" s="106"/>
      <c r="GUB493" s="106"/>
      <c r="GUC493" s="106"/>
      <c r="GUD493" s="106"/>
      <c r="GUE493" s="106"/>
      <c r="GUF493" s="106"/>
      <c r="GUG493" s="106"/>
      <c r="GUH493" s="106"/>
      <c r="GUI493" s="106"/>
      <c r="GUJ493" s="106"/>
      <c r="GUK493" s="106"/>
      <c r="GUL493" s="106"/>
      <c r="GUM493" s="106"/>
      <c r="GUN493" s="106"/>
      <c r="GUO493" s="106"/>
      <c r="GUP493" s="106"/>
      <c r="GUQ493" s="106"/>
      <c r="GUR493" s="106"/>
      <c r="GUS493" s="106"/>
      <c r="GUT493" s="106"/>
      <c r="GUU493" s="106"/>
      <c r="GUV493" s="106"/>
      <c r="GUW493" s="106"/>
      <c r="GUX493" s="106"/>
      <c r="GUY493" s="106"/>
      <c r="GUZ493" s="106"/>
      <c r="GVA493" s="106"/>
      <c r="GVB493" s="106"/>
      <c r="GVC493" s="106"/>
      <c r="GVD493" s="106"/>
      <c r="GVE493" s="106"/>
      <c r="GVF493" s="106"/>
      <c r="GVG493" s="106"/>
      <c r="GVH493" s="106"/>
      <c r="GVI493" s="106"/>
      <c r="GVJ493" s="106"/>
      <c r="GVK493" s="106"/>
      <c r="GVL493" s="106"/>
      <c r="GVM493" s="106"/>
      <c r="GVN493" s="106"/>
      <c r="GVO493" s="106"/>
      <c r="GVP493" s="106"/>
      <c r="GVQ493" s="106"/>
      <c r="GVR493" s="106"/>
      <c r="GVS493" s="106"/>
      <c r="GVT493" s="106"/>
      <c r="GVU493" s="106"/>
      <c r="GVV493" s="106"/>
      <c r="GVW493" s="106"/>
      <c r="GVX493" s="106"/>
      <c r="GVY493" s="106"/>
      <c r="GVZ493" s="106"/>
      <c r="GWA493" s="106"/>
      <c r="GWB493" s="106"/>
      <c r="GWC493" s="106"/>
      <c r="GWD493" s="106"/>
      <c r="GWE493" s="106"/>
      <c r="GWF493" s="106"/>
      <c r="GWG493" s="106"/>
      <c r="GWH493" s="106"/>
      <c r="GWI493" s="106"/>
      <c r="GWJ493" s="106"/>
      <c r="GWK493" s="106"/>
      <c r="GWL493" s="106"/>
      <c r="GWM493" s="106"/>
      <c r="GWN493" s="106"/>
      <c r="GWO493" s="106"/>
      <c r="GWP493" s="106"/>
      <c r="GWQ493" s="106"/>
      <c r="GWR493" s="106"/>
      <c r="GWS493" s="106"/>
      <c r="GWT493" s="106"/>
      <c r="GWU493" s="106"/>
      <c r="GWV493" s="106"/>
      <c r="GWW493" s="106"/>
      <c r="GWX493" s="106"/>
      <c r="GWY493" s="106"/>
      <c r="GWZ493" s="106"/>
      <c r="GXA493" s="106"/>
      <c r="GXB493" s="106"/>
      <c r="GXC493" s="106"/>
      <c r="GXD493" s="106"/>
      <c r="GXE493" s="106"/>
      <c r="GXF493" s="106"/>
      <c r="GXG493" s="106"/>
      <c r="GXH493" s="106"/>
      <c r="GXI493" s="106"/>
      <c r="GXJ493" s="106"/>
      <c r="GXK493" s="106"/>
      <c r="GXL493" s="106"/>
      <c r="GXM493" s="106"/>
      <c r="GXN493" s="106"/>
      <c r="GXO493" s="106"/>
      <c r="GXP493" s="106"/>
      <c r="GXQ493" s="106"/>
      <c r="GXR493" s="106"/>
      <c r="GXS493" s="106"/>
      <c r="GXT493" s="106"/>
      <c r="GXU493" s="106"/>
      <c r="GXV493" s="106"/>
      <c r="GXW493" s="106"/>
      <c r="GXX493" s="106"/>
      <c r="GXY493" s="106"/>
      <c r="GXZ493" s="106"/>
      <c r="GYA493" s="106"/>
      <c r="GYB493" s="106"/>
      <c r="GYC493" s="106"/>
      <c r="GYD493" s="106"/>
      <c r="GYE493" s="106"/>
      <c r="GYF493" s="106"/>
      <c r="GYG493" s="106"/>
      <c r="GYH493" s="106"/>
      <c r="GYI493" s="106"/>
      <c r="GYJ493" s="106"/>
      <c r="GYK493" s="106"/>
      <c r="GYL493" s="106"/>
      <c r="GYM493" s="106"/>
      <c r="GYN493" s="106"/>
      <c r="GYO493" s="106"/>
      <c r="GYP493" s="106"/>
      <c r="GYQ493" s="106"/>
      <c r="GYR493" s="106"/>
      <c r="GYS493" s="106"/>
      <c r="GYT493" s="106"/>
      <c r="GYU493" s="106"/>
      <c r="GYV493" s="106"/>
      <c r="GYW493" s="106"/>
      <c r="GYX493" s="106"/>
      <c r="GYY493" s="106"/>
      <c r="GYZ493" s="106"/>
      <c r="GZA493" s="106"/>
      <c r="GZB493" s="106"/>
      <c r="GZC493" s="106"/>
      <c r="GZD493" s="106"/>
      <c r="GZE493" s="106"/>
      <c r="GZF493" s="106"/>
      <c r="GZG493" s="106"/>
      <c r="GZH493" s="106"/>
      <c r="GZI493" s="106"/>
      <c r="GZJ493" s="106"/>
      <c r="GZK493" s="106"/>
      <c r="GZL493" s="106"/>
      <c r="GZM493" s="106"/>
      <c r="GZN493" s="106"/>
      <c r="GZO493" s="106"/>
      <c r="GZP493" s="106"/>
      <c r="GZQ493" s="106"/>
      <c r="GZR493" s="106"/>
      <c r="GZS493" s="106"/>
      <c r="GZT493" s="106"/>
      <c r="GZU493" s="106"/>
      <c r="GZV493" s="106"/>
      <c r="GZW493" s="106"/>
      <c r="GZX493" s="106"/>
      <c r="GZY493" s="106"/>
      <c r="GZZ493" s="106"/>
      <c r="HAA493" s="106"/>
      <c r="HAB493" s="106"/>
      <c r="HAC493" s="106"/>
      <c r="HAD493" s="106"/>
      <c r="HAE493" s="106"/>
      <c r="HAF493" s="106"/>
      <c r="HAG493" s="106"/>
      <c r="HAH493" s="106"/>
      <c r="HAI493" s="106"/>
      <c r="HAJ493" s="106"/>
      <c r="HAK493" s="106"/>
      <c r="HAL493" s="106"/>
      <c r="HAM493" s="106"/>
      <c r="HAN493" s="106"/>
      <c r="HAO493" s="106"/>
      <c r="HAP493" s="106"/>
      <c r="HAQ493" s="106"/>
      <c r="HAR493" s="106"/>
      <c r="HAS493" s="106"/>
      <c r="HAT493" s="106"/>
      <c r="HAU493" s="106"/>
      <c r="HAV493" s="106"/>
      <c r="HAW493" s="106"/>
      <c r="HAX493" s="106"/>
      <c r="HAY493" s="106"/>
      <c r="HAZ493" s="106"/>
      <c r="HBA493" s="106"/>
      <c r="HBB493" s="106"/>
      <c r="HBC493" s="106"/>
      <c r="HBD493" s="106"/>
      <c r="HBE493" s="106"/>
      <c r="HBF493" s="106"/>
      <c r="HBG493" s="106"/>
      <c r="HBH493" s="106"/>
      <c r="HBI493" s="106"/>
      <c r="HBJ493" s="106"/>
      <c r="HBK493" s="106"/>
      <c r="HBL493" s="106"/>
      <c r="HBM493" s="106"/>
      <c r="HBN493" s="106"/>
      <c r="HBO493" s="106"/>
      <c r="HBP493" s="106"/>
      <c r="HBQ493" s="106"/>
      <c r="HBR493" s="106"/>
      <c r="HBS493" s="106"/>
      <c r="HBT493" s="106"/>
      <c r="HBU493" s="106"/>
      <c r="HBV493" s="106"/>
      <c r="HBW493" s="106"/>
      <c r="HBX493" s="106"/>
      <c r="HBY493" s="106"/>
      <c r="HBZ493" s="106"/>
      <c r="HCA493" s="106"/>
      <c r="HCB493" s="106"/>
      <c r="HCC493" s="106"/>
      <c r="HCD493" s="106"/>
      <c r="HCE493" s="106"/>
      <c r="HCF493" s="106"/>
      <c r="HCG493" s="106"/>
      <c r="HCH493" s="106"/>
      <c r="HCI493" s="106"/>
      <c r="HCJ493" s="106"/>
      <c r="HCK493" s="106"/>
      <c r="HCL493" s="106"/>
      <c r="HCM493" s="106"/>
      <c r="HCN493" s="106"/>
      <c r="HCO493" s="106"/>
      <c r="HCP493" s="106"/>
      <c r="HCQ493" s="106"/>
      <c r="HCR493" s="106"/>
      <c r="HCS493" s="106"/>
      <c r="HCT493" s="106"/>
      <c r="HCU493" s="106"/>
      <c r="HCV493" s="106"/>
      <c r="HCW493" s="106"/>
      <c r="HCX493" s="106"/>
      <c r="HCY493" s="106"/>
      <c r="HCZ493" s="106"/>
      <c r="HDA493" s="106"/>
      <c r="HDB493" s="106"/>
      <c r="HDC493" s="106"/>
      <c r="HDD493" s="106"/>
      <c r="HDE493" s="106"/>
      <c r="HDF493" s="106"/>
      <c r="HDG493" s="106"/>
      <c r="HDH493" s="106"/>
      <c r="HDI493" s="106"/>
      <c r="HDJ493" s="106"/>
      <c r="HDK493" s="106"/>
      <c r="HDL493" s="106"/>
      <c r="HDM493" s="106"/>
      <c r="HDN493" s="106"/>
      <c r="HDO493" s="106"/>
      <c r="HDP493" s="106"/>
      <c r="HDQ493" s="106"/>
      <c r="HDR493" s="106"/>
      <c r="HDS493" s="106"/>
      <c r="HDT493" s="106"/>
      <c r="HDU493" s="106"/>
      <c r="HDV493" s="106"/>
      <c r="HDW493" s="106"/>
      <c r="HDX493" s="106"/>
      <c r="HDY493" s="106"/>
      <c r="HDZ493" s="106"/>
      <c r="HEA493" s="106"/>
      <c r="HEB493" s="106"/>
      <c r="HEC493" s="106"/>
      <c r="HED493" s="106"/>
      <c r="HEE493" s="106"/>
      <c r="HEF493" s="106"/>
      <c r="HEG493" s="106"/>
      <c r="HEH493" s="106"/>
      <c r="HEI493" s="106"/>
      <c r="HEJ493" s="106"/>
      <c r="HEK493" s="106"/>
      <c r="HEL493" s="106"/>
      <c r="HEM493" s="106"/>
      <c r="HEN493" s="106"/>
      <c r="HEO493" s="106"/>
      <c r="HEP493" s="106"/>
      <c r="HEQ493" s="106"/>
      <c r="HER493" s="106"/>
      <c r="HES493" s="106"/>
      <c r="HET493" s="106"/>
      <c r="HEU493" s="106"/>
      <c r="HEV493" s="106"/>
      <c r="HEW493" s="106"/>
      <c r="HEX493" s="106"/>
      <c r="HEY493" s="106"/>
      <c r="HEZ493" s="106"/>
      <c r="HFA493" s="106"/>
      <c r="HFB493" s="106"/>
      <c r="HFC493" s="106"/>
      <c r="HFD493" s="106"/>
      <c r="HFE493" s="106"/>
      <c r="HFF493" s="106"/>
      <c r="HFG493" s="106"/>
      <c r="HFH493" s="106"/>
      <c r="HFI493" s="106"/>
      <c r="HFJ493" s="106"/>
      <c r="HFK493" s="106"/>
      <c r="HFL493" s="106"/>
      <c r="HFM493" s="106"/>
      <c r="HFN493" s="106"/>
      <c r="HFO493" s="106"/>
      <c r="HFP493" s="106"/>
      <c r="HFQ493" s="106"/>
      <c r="HFR493" s="106"/>
      <c r="HFS493" s="106"/>
      <c r="HFT493" s="106"/>
      <c r="HFU493" s="106"/>
      <c r="HFV493" s="106"/>
      <c r="HFW493" s="106"/>
      <c r="HFX493" s="106"/>
      <c r="HFY493" s="106"/>
      <c r="HFZ493" s="106"/>
      <c r="HGA493" s="106"/>
      <c r="HGB493" s="106"/>
      <c r="HGC493" s="106"/>
      <c r="HGD493" s="106"/>
      <c r="HGE493" s="106"/>
      <c r="HGF493" s="106"/>
      <c r="HGG493" s="106"/>
      <c r="HGH493" s="106"/>
      <c r="HGI493" s="106"/>
      <c r="HGJ493" s="106"/>
      <c r="HGK493" s="106"/>
      <c r="HGL493" s="106"/>
      <c r="HGM493" s="106"/>
      <c r="HGN493" s="106"/>
      <c r="HGO493" s="106"/>
      <c r="HGP493" s="106"/>
      <c r="HGQ493" s="106"/>
      <c r="HGR493" s="106"/>
      <c r="HGS493" s="106"/>
      <c r="HGT493" s="106"/>
      <c r="HGU493" s="106"/>
      <c r="HGV493" s="106"/>
      <c r="HGW493" s="106"/>
      <c r="HGX493" s="106"/>
      <c r="HGY493" s="106"/>
      <c r="HGZ493" s="106"/>
      <c r="HHA493" s="106"/>
      <c r="HHB493" s="106"/>
      <c r="HHC493" s="106"/>
      <c r="HHD493" s="106"/>
      <c r="HHE493" s="106"/>
      <c r="HHF493" s="106"/>
      <c r="HHG493" s="106"/>
      <c r="HHH493" s="106"/>
      <c r="HHI493" s="106"/>
      <c r="HHJ493" s="106"/>
      <c r="HHK493" s="106"/>
      <c r="HHL493" s="106"/>
      <c r="HHM493" s="106"/>
      <c r="HHN493" s="106"/>
      <c r="HHO493" s="106"/>
      <c r="HHP493" s="106"/>
      <c r="HHQ493" s="106"/>
      <c r="HHR493" s="106"/>
      <c r="HHS493" s="106"/>
      <c r="HHT493" s="106"/>
      <c r="HHU493" s="106"/>
      <c r="HHV493" s="106"/>
      <c r="HHW493" s="106"/>
      <c r="HHX493" s="106"/>
      <c r="HHY493" s="106"/>
      <c r="HHZ493" s="106"/>
      <c r="HIA493" s="106"/>
      <c r="HIB493" s="106"/>
      <c r="HIC493" s="106"/>
      <c r="HID493" s="106"/>
      <c r="HIE493" s="106"/>
      <c r="HIF493" s="106"/>
      <c r="HIG493" s="106"/>
      <c r="HIH493" s="106"/>
      <c r="HII493" s="106"/>
      <c r="HIJ493" s="106"/>
      <c r="HIK493" s="106"/>
      <c r="HIL493" s="106"/>
      <c r="HIM493" s="106"/>
      <c r="HIN493" s="106"/>
      <c r="HIO493" s="106"/>
      <c r="HIP493" s="106"/>
      <c r="HIQ493" s="106"/>
      <c r="HIR493" s="106"/>
      <c r="HIS493" s="106"/>
      <c r="HIT493" s="106"/>
      <c r="HIU493" s="106"/>
      <c r="HIV493" s="106"/>
      <c r="HIW493" s="106"/>
      <c r="HIX493" s="106"/>
      <c r="HIY493" s="106"/>
      <c r="HIZ493" s="106"/>
      <c r="HJA493" s="106"/>
      <c r="HJB493" s="106"/>
      <c r="HJC493" s="106"/>
      <c r="HJD493" s="106"/>
      <c r="HJE493" s="106"/>
      <c r="HJF493" s="106"/>
      <c r="HJG493" s="106"/>
      <c r="HJH493" s="106"/>
      <c r="HJI493" s="106"/>
      <c r="HJJ493" s="106"/>
      <c r="HJK493" s="106"/>
      <c r="HJL493" s="106"/>
      <c r="HJM493" s="106"/>
      <c r="HJN493" s="106"/>
      <c r="HJO493" s="106"/>
      <c r="HJP493" s="106"/>
      <c r="HJQ493" s="106"/>
      <c r="HJR493" s="106"/>
      <c r="HJS493" s="106"/>
      <c r="HJT493" s="106"/>
      <c r="HJU493" s="106"/>
      <c r="HJV493" s="106"/>
      <c r="HJW493" s="106"/>
      <c r="HJX493" s="106"/>
      <c r="HJY493" s="106"/>
      <c r="HJZ493" s="106"/>
      <c r="HKA493" s="106"/>
      <c r="HKB493" s="106"/>
      <c r="HKC493" s="106"/>
      <c r="HKD493" s="106"/>
      <c r="HKE493" s="106"/>
      <c r="HKF493" s="106"/>
      <c r="HKG493" s="106"/>
      <c r="HKH493" s="106"/>
      <c r="HKI493" s="106"/>
      <c r="HKJ493" s="106"/>
      <c r="HKK493" s="106"/>
      <c r="HKL493" s="106"/>
      <c r="HKM493" s="106"/>
      <c r="HKN493" s="106"/>
      <c r="HKO493" s="106"/>
      <c r="HKP493" s="106"/>
      <c r="HKQ493" s="106"/>
      <c r="HKR493" s="106"/>
      <c r="HKS493" s="106"/>
      <c r="HKT493" s="106"/>
      <c r="HKU493" s="106"/>
      <c r="HKV493" s="106"/>
      <c r="HKW493" s="106"/>
      <c r="HKX493" s="106"/>
      <c r="HKY493" s="106"/>
      <c r="HKZ493" s="106"/>
      <c r="HLA493" s="106"/>
      <c r="HLB493" s="106"/>
      <c r="HLC493" s="106"/>
      <c r="HLD493" s="106"/>
      <c r="HLE493" s="106"/>
      <c r="HLF493" s="106"/>
      <c r="HLG493" s="106"/>
      <c r="HLH493" s="106"/>
      <c r="HLI493" s="106"/>
      <c r="HLJ493" s="106"/>
      <c r="HLK493" s="106"/>
      <c r="HLL493" s="106"/>
      <c r="HLM493" s="106"/>
      <c r="HLN493" s="106"/>
      <c r="HLO493" s="106"/>
      <c r="HLP493" s="106"/>
      <c r="HLQ493" s="106"/>
      <c r="HLR493" s="106"/>
      <c r="HLS493" s="106"/>
      <c r="HLT493" s="106"/>
      <c r="HLU493" s="106"/>
      <c r="HLV493" s="106"/>
      <c r="HLW493" s="106"/>
      <c r="HLX493" s="106"/>
      <c r="HLY493" s="106"/>
      <c r="HLZ493" s="106"/>
      <c r="HMA493" s="106"/>
      <c r="HMB493" s="106"/>
      <c r="HMC493" s="106"/>
      <c r="HMD493" s="106"/>
      <c r="HME493" s="106"/>
      <c r="HMF493" s="106"/>
      <c r="HMG493" s="106"/>
      <c r="HMH493" s="106"/>
      <c r="HMI493" s="106"/>
      <c r="HMJ493" s="106"/>
      <c r="HMK493" s="106"/>
      <c r="HML493" s="106"/>
      <c r="HMM493" s="106"/>
      <c r="HMN493" s="106"/>
      <c r="HMO493" s="106"/>
      <c r="HMP493" s="106"/>
      <c r="HMQ493" s="106"/>
      <c r="HMR493" s="106"/>
      <c r="HMS493" s="106"/>
      <c r="HMT493" s="106"/>
      <c r="HMU493" s="106"/>
      <c r="HMV493" s="106"/>
      <c r="HMW493" s="106"/>
      <c r="HMX493" s="106"/>
      <c r="HMY493" s="106"/>
      <c r="HMZ493" s="106"/>
      <c r="HNA493" s="106"/>
      <c r="HNB493" s="106"/>
      <c r="HNC493" s="106"/>
      <c r="HND493" s="106"/>
      <c r="HNE493" s="106"/>
      <c r="HNF493" s="106"/>
      <c r="HNG493" s="106"/>
      <c r="HNH493" s="106"/>
      <c r="HNI493" s="106"/>
      <c r="HNJ493" s="106"/>
      <c r="HNK493" s="106"/>
      <c r="HNL493" s="106"/>
      <c r="HNM493" s="106"/>
      <c r="HNN493" s="106"/>
      <c r="HNO493" s="106"/>
      <c r="HNP493" s="106"/>
      <c r="HNQ493" s="106"/>
      <c r="HNR493" s="106"/>
      <c r="HNS493" s="106"/>
      <c r="HNT493" s="106"/>
      <c r="HNU493" s="106"/>
      <c r="HNV493" s="106"/>
      <c r="HNW493" s="106"/>
      <c r="HNX493" s="106"/>
      <c r="HNY493" s="106"/>
      <c r="HNZ493" s="106"/>
      <c r="HOA493" s="106"/>
      <c r="HOB493" s="106"/>
      <c r="HOC493" s="106"/>
      <c r="HOD493" s="106"/>
      <c r="HOE493" s="106"/>
      <c r="HOF493" s="106"/>
      <c r="HOG493" s="106"/>
      <c r="HOH493" s="106"/>
      <c r="HOI493" s="106"/>
      <c r="HOJ493" s="106"/>
      <c r="HOK493" s="106"/>
      <c r="HOL493" s="106"/>
      <c r="HOM493" s="106"/>
      <c r="HON493" s="106"/>
      <c r="HOO493" s="106"/>
      <c r="HOP493" s="106"/>
      <c r="HOQ493" s="106"/>
      <c r="HOR493" s="106"/>
      <c r="HOS493" s="106"/>
      <c r="HOT493" s="106"/>
      <c r="HOU493" s="106"/>
      <c r="HOV493" s="106"/>
      <c r="HOW493" s="106"/>
      <c r="HOX493" s="106"/>
      <c r="HOY493" s="106"/>
      <c r="HOZ493" s="106"/>
      <c r="HPA493" s="106"/>
      <c r="HPB493" s="106"/>
      <c r="HPC493" s="106"/>
      <c r="HPD493" s="106"/>
      <c r="HPE493" s="106"/>
      <c r="HPF493" s="106"/>
      <c r="HPG493" s="106"/>
      <c r="HPH493" s="106"/>
      <c r="HPI493" s="106"/>
      <c r="HPJ493" s="106"/>
      <c r="HPK493" s="106"/>
      <c r="HPL493" s="106"/>
      <c r="HPM493" s="106"/>
      <c r="HPN493" s="106"/>
      <c r="HPO493" s="106"/>
      <c r="HPP493" s="106"/>
      <c r="HPQ493" s="106"/>
      <c r="HPR493" s="106"/>
      <c r="HPS493" s="106"/>
      <c r="HPT493" s="106"/>
      <c r="HPU493" s="106"/>
      <c r="HPV493" s="106"/>
      <c r="HPW493" s="106"/>
      <c r="HPX493" s="106"/>
      <c r="HPY493" s="106"/>
      <c r="HPZ493" s="106"/>
      <c r="HQA493" s="106"/>
      <c r="HQB493" s="106"/>
      <c r="HQC493" s="106"/>
      <c r="HQD493" s="106"/>
      <c r="HQE493" s="106"/>
      <c r="HQF493" s="106"/>
      <c r="HQG493" s="106"/>
      <c r="HQH493" s="106"/>
      <c r="HQI493" s="106"/>
      <c r="HQJ493" s="106"/>
      <c r="HQK493" s="106"/>
      <c r="HQL493" s="106"/>
      <c r="HQM493" s="106"/>
      <c r="HQN493" s="106"/>
      <c r="HQO493" s="106"/>
      <c r="HQP493" s="106"/>
      <c r="HQQ493" s="106"/>
      <c r="HQR493" s="106"/>
      <c r="HQS493" s="106"/>
      <c r="HQT493" s="106"/>
      <c r="HQU493" s="106"/>
      <c r="HQV493" s="106"/>
      <c r="HQW493" s="106"/>
      <c r="HQX493" s="106"/>
      <c r="HQY493" s="106"/>
      <c r="HQZ493" s="106"/>
      <c r="HRA493" s="106"/>
      <c r="HRB493" s="106"/>
      <c r="HRC493" s="106"/>
      <c r="HRD493" s="106"/>
      <c r="HRE493" s="106"/>
      <c r="HRF493" s="106"/>
      <c r="HRG493" s="106"/>
      <c r="HRH493" s="106"/>
      <c r="HRI493" s="106"/>
      <c r="HRJ493" s="106"/>
      <c r="HRK493" s="106"/>
      <c r="HRL493" s="106"/>
      <c r="HRM493" s="106"/>
      <c r="HRN493" s="106"/>
      <c r="HRO493" s="106"/>
      <c r="HRP493" s="106"/>
      <c r="HRQ493" s="106"/>
      <c r="HRR493" s="106"/>
      <c r="HRS493" s="106"/>
      <c r="HRT493" s="106"/>
      <c r="HRU493" s="106"/>
      <c r="HRV493" s="106"/>
      <c r="HRW493" s="106"/>
      <c r="HRX493" s="106"/>
      <c r="HRY493" s="106"/>
      <c r="HRZ493" s="106"/>
      <c r="HSA493" s="106"/>
      <c r="HSB493" s="106"/>
      <c r="HSC493" s="106"/>
      <c r="HSD493" s="106"/>
      <c r="HSE493" s="106"/>
      <c r="HSF493" s="106"/>
      <c r="HSG493" s="106"/>
      <c r="HSH493" s="106"/>
      <c r="HSI493" s="106"/>
      <c r="HSJ493" s="106"/>
      <c r="HSK493" s="106"/>
      <c r="HSL493" s="106"/>
      <c r="HSM493" s="106"/>
      <c r="HSN493" s="106"/>
      <c r="HSO493" s="106"/>
      <c r="HSP493" s="106"/>
      <c r="HSQ493" s="106"/>
      <c r="HSR493" s="106"/>
      <c r="HSS493" s="106"/>
      <c r="HST493" s="106"/>
      <c r="HSU493" s="106"/>
      <c r="HSV493" s="106"/>
      <c r="HSW493" s="106"/>
      <c r="HSX493" s="106"/>
      <c r="HSY493" s="106"/>
      <c r="HSZ493" s="106"/>
      <c r="HTA493" s="106"/>
      <c r="HTB493" s="106"/>
      <c r="HTC493" s="106"/>
      <c r="HTD493" s="106"/>
      <c r="HTE493" s="106"/>
      <c r="HTF493" s="106"/>
      <c r="HTG493" s="106"/>
      <c r="HTH493" s="106"/>
      <c r="HTI493" s="106"/>
      <c r="HTJ493" s="106"/>
      <c r="HTK493" s="106"/>
      <c r="HTL493" s="106"/>
      <c r="HTM493" s="106"/>
      <c r="HTN493" s="106"/>
      <c r="HTO493" s="106"/>
      <c r="HTP493" s="106"/>
      <c r="HTQ493" s="106"/>
      <c r="HTR493" s="106"/>
      <c r="HTS493" s="106"/>
      <c r="HTT493" s="106"/>
      <c r="HTU493" s="106"/>
      <c r="HTV493" s="106"/>
      <c r="HTW493" s="106"/>
      <c r="HTX493" s="106"/>
      <c r="HTY493" s="106"/>
      <c r="HTZ493" s="106"/>
      <c r="HUA493" s="106"/>
      <c r="HUB493" s="106"/>
      <c r="HUC493" s="106"/>
      <c r="HUD493" s="106"/>
      <c r="HUE493" s="106"/>
      <c r="HUF493" s="106"/>
      <c r="HUG493" s="106"/>
      <c r="HUH493" s="106"/>
      <c r="HUI493" s="106"/>
      <c r="HUJ493" s="106"/>
      <c r="HUK493" s="106"/>
      <c r="HUL493" s="106"/>
      <c r="HUM493" s="106"/>
      <c r="HUN493" s="106"/>
      <c r="HUO493" s="106"/>
      <c r="HUP493" s="106"/>
      <c r="HUQ493" s="106"/>
      <c r="HUR493" s="106"/>
      <c r="HUS493" s="106"/>
      <c r="HUT493" s="106"/>
      <c r="HUU493" s="106"/>
      <c r="HUV493" s="106"/>
      <c r="HUW493" s="106"/>
      <c r="HUX493" s="106"/>
      <c r="HUY493" s="106"/>
      <c r="HUZ493" s="106"/>
      <c r="HVA493" s="106"/>
      <c r="HVB493" s="106"/>
      <c r="HVC493" s="106"/>
      <c r="HVD493" s="106"/>
      <c r="HVE493" s="106"/>
      <c r="HVF493" s="106"/>
      <c r="HVG493" s="106"/>
      <c r="HVH493" s="106"/>
      <c r="HVI493" s="106"/>
      <c r="HVJ493" s="106"/>
      <c r="HVK493" s="106"/>
      <c r="HVL493" s="106"/>
      <c r="HVM493" s="106"/>
      <c r="HVN493" s="106"/>
      <c r="HVO493" s="106"/>
      <c r="HVP493" s="106"/>
      <c r="HVQ493" s="106"/>
      <c r="HVR493" s="106"/>
      <c r="HVS493" s="106"/>
      <c r="HVT493" s="106"/>
      <c r="HVU493" s="106"/>
      <c r="HVV493" s="106"/>
      <c r="HVW493" s="106"/>
      <c r="HVX493" s="106"/>
      <c r="HVY493" s="106"/>
      <c r="HVZ493" s="106"/>
      <c r="HWA493" s="106"/>
      <c r="HWB493" s="106"/>
      <c r="HWC493" s="106"/>
      <c r="HWD493" s="106"/>
      <c r="HWE493" s="106"/>
      <c r="HWF493" s="106"/>
      <c r="HWG493" s="106"/>
      <c r="HWH493" s="106"/>
      <c r="HWI493" s="106"/>
      <c r="HWJ493" s="106"/>
      <c r="HWK493" s="106"/>
      <c r="HWL493" s="106"/>
      <c r="HWM493" s="106"/>
      <c r="HWN493" s="106"/>
      <c r="HWO493" s="106"/>
      <c r="HWP493" s="106"/>
      <c r="HWQ493" s="106"/>
      <c r="HWR493" s="106"/>
      <c r="HWS493" s="106"/>
      <c r="HWT493" s="106"/>
      <c r="HWU493" s="106"/>
      <c r="HWV493" s="106"/>
      <c r="HWW493" s="106"/>
      <c r="HWX493" s="106"/>
      <c r="HWY493" s="106"/>
      <c r="HWZ493" s="106"/>
      <c r="HXA493" s="106"/>
      <c r="HXB493" s="106"/>
      <c r="HXC493" s="106"/>
      <c r="HXD493" s="106"/>
      <c r="HXE493" s="106"/>
      <c r="HXF493" s="106"/>
      <c r="HXG493" s="106"/>
      <c r="HXH493" s="106"/>
      <c r="HXI493" s="106"/>
      <c r="HXJ493" s="106"/>
      <c r="HXK493" s="106"/>
      <c r="HXL493" s="106"/>
      <c r="HXM493" s="106"/>
      <c r="HXN493" s="106"/>
      <c r="HXO493" s="106"/>
      <c r="HXP493" s="106"/>
      <c r="HXQ493" s="106"/>
      <c r="HXR493" s="106"/>
      <c r="HXS493" s="106"/>
      <c r="HXT493" s="106"/>
      <c r="HXU493" s="106"/>
      <c r="HXV493" s="106"/>
      <c r="HXW493" s="106"/>
      <c r="HXX493" s="106"/>
      <c r="HXY493" s="106"/>
      <c r="HXZ493" s="106"/>
      <c r="HYA493" s="106"/>
      <c r="HYB493" s="106"/>
      <c r="HYC493" s="106"/>
      <c r="HYD493" s="106"/>
      <c r="HYE493" s="106"/>
      <c r="HYF493" s="106"/>
      <c r="HYG493" s="106"/>
      <c r="HYH493" s="106"/>
      <c r="HYI493" s="106"/>
      <c r="HYJ493" s="106"/>
      <c r="HYK493" s="106"/>
      <c r="HYL493" s="106"/>
      <c r="HYM493" s="106"/>
      <c r="HYN493" s="106"/>
      <c r="HYO493" s="106"/>
      <c r="HYP493" s="106"/>
      <c r="HYQ493" s="106"/>
      <c r="HYR493" s="106"/>
      <c r="HYS493" s="106"/>
      <c r="HYT493" s="106"/>
      <c r="HYU493" s="106"/>
      <c r="HYV493" s="106"/>
      <c r="HYW493" s="106"/>
      <c r="HYX493" s="106"/>
      <c r="HYY493" s="106"/>
      <c r="HYZ493" s="106"/>
      <c r="HZA493" s="106"/>
      <c r="HZB493" s="106"/>
      <c r="HZC493" s="106"/>
      <c r="HZD493" s="106"/>
      <c r="HZE493" s="106"/>
      <c r="HZF493" s="106"/>
      <c r="HZG493" s="106"/>
      <c r="HZH493" s="106"/>
      <c r="HZI493" s="106"/>
      <c r="HZJ493" s="106"/>
      <c r="HZK493" s="106"/>
      <c r="HZL493" s="106"/>
      <c r="HZM493" s="106"/>
      <c r="HZN493" s="106"/>
      <c r="HZO493" s="106"/>
      <c r="HZP493" s="106"/>
      <c r="HZQ493" s="106"/>
      <c r="HZR493" s="106"/>
      <c r="HZS493" s="106"/>
      <c r="HZT493" s="106"/>
      <c r="HZU493" s="106"/>
      <c r="HZV493" s="106"/>
      <c r="HZW493" s="106"/>
      <c r="HZX493" s="106"/>
      <c r="HZY493" s="106"/>
      <c r="HZZ493" s="106"/>
      <c r="IAA493" s="106"/>
      <c r="IAB493" s="106"/>
      <c r="IAC493" s="106"/>
      <c r="IAD493" s="106"/>
      <c r="IAE493" s="106"/>
      <c r="IAF493" s="106"/>
      <c r="IAG493" s="106"/>
      <c r="IAH493" s="106"/>
      <c r="IAI493" s="106"/>
      <c r="IAJ493" s="106"/>
      <c r="IAK493" s="106"/>
      <c r="IAL493" s="106"/>
      <c r="IAM493" s="106"/>
      <c r="IAN493" s="106"/>
      <c r="IAO493" s="106"/>
      <c r="IAP493" s="106"/>
      <c r="IAQ493" s="106"/>
      <c r="IAR493" s="106"/>
      <c r="IAS493" s="106"/>
      <c r="IAT493" s="106"/>
      <c r="IAU493" s="106"/>
      <c r="IAV493" s="106"/>
      <c r="IAW493" s="106"/>
      <c r="IAX493" s="106"/>
      <c r="IAY493" s="106"/>
      <c r="IAZ493" s="106"/>
      <c r="IBA493" s="106"/>
      <c r="IBB493" s="106"/>
      <c r="IBC493" s="106"/>
      <c r="IBD493" s="106"/>
      <c r="IBE493" s="106"/>
      <c r="IBF493" s="106"/>
      <c r="IBG493" s="106"/>
      <c r="IBH493" s="106"/>
      <c r="IBI493" s="106"/>
      <c r="IBJ493" s="106"/>
      <c r="IBK493" s="106"/>
      <c r="IBL493" s="106"/>
      <c r="IBM493" s="106"/>
      <c r="IBN493" s="106"/>
      <c r="IBO493" s="106"/>
      <c r="IBP493" s="106"/>
      <c r="IBQ493" s="106"/>
      <c r="IBR493" s="106"/>
      <c r="IBS493" s="106"/>
      <c r="IBT493" s="106"/>
      <c r="IBU493" s="106"/>
      <c r="IBV493" s="106"/>
      <c r="IBW493" s="106"/>
      <c r="IBX493" s="106"/>
      <c r="IBY493" s="106"/>
      <c r="IBZ493" s="106"/>
      <c r="ICA493" s="106"/>
      <c r="ICB493" s="106"/>
      <c r="ICC493" s="106"/>
      <c r="ICD493" s="106"/>
      <c r="ICE493" s="106"/>
      <c r="ICF493" s="106"/>
      <c r="ICG493" s="106"/>
      <c r="ICH493" s="106"/>
      <c r="ICI493" s="106"/>
      <c r="ICJ493" s="106"/>
      <c r="ICK493" s="106"/>
      <c r="ICL493" s="106"/>
      <c r="ICM493" s="106"/>
      <c r="ICN493" s="106"/>
      <c r="ICO493" s="106"/>
      <c r="ICP493" s="106"/>
      <c r="ICQ493" s="106"/>
      <c r="ICR493" s="106"/>
      <c r="ICS493" s="106"/>
      <c r="ICT493" s="106"/>
      <c r="ICU493" s="106"/>
      <c r="ICV493" s="106"/>
      <c r="ICW493" s="106"/>
      <c r="ICX493" s="106"/>
      <c r="ICY493" s="106"/>
      <c r="ICZ493" s="106"/>
      <c r="IDA493" s="106"/>
      <c r="IDB493" s="106"/>
      <c r="IDC493" s="106"/>
      <c r="IDD493" s="106"/>
      <c r="IDE493" s="106"/>
      <c r="IDF493" s="106"/>
      <c r="IDG493" s="106"/>
      <c r="IDH493" s="106"/>
      <c r="IDI493" s="106"/>
      <c r="IDJ493" s="106"/>
      <c r="IDK493" s="106"/>
      <c r="IDL493" s="106"/>
      <c r="IDM493" s="106"/>
      <c r="IDN493" s="106"/>
      <c r="IDO493" s="106"/>
      <c r="IDP493" s="106"/>
      <c r="IDQ493" s="106"/>
      <c r="IDR493" s="106"/>
      <c r="IDS493" s="106"/>
      <c r="IDT493" s="106"/>
      <c r="IDU493" s="106"/>
      <c r="IDV493" s="106"/>
      <c r="IDW493" s="106"/>
      <c r="IDX493" s="106"/>
      <c r="IDY493" s="106"/>
      <c r="IDZ493" s="106"/>
      <c r="IEA493" s="106"/>
      <c r="IEB493" s="106"/>
      <c r="IEC493" s="106"/>
      <c r="IED493" s="106"/>
      <c r="IEE493" s="106"/>
      <c r="IEF493" s="106"/>
      <c r="IEG493" s="106"/>
      <c r="IEH493" s="106"/>
      <c r="IEI493" s="106"/>
      <c r="IEJ493" s="106"/>
      <c r="IEK493" s="106"/>
      <c r="IEL493" s="106"/>
      <c r="IEM493" s="106"/>
      <c r="IEN493" s="106"/>
      <c r="IEO493" s="106"/>
      <c r="IEP493" s="106"/>
      <c r="IEQ493" s="106"/>
      <c r="IER493" s="106"/>
      <c r="IES493" s="106"/>
      <c r="IET493" s="106"/>
      <c r="IEU493" s="106"/>
      <c r="IEV493" s="106"/>
      <c r="IEW493" s="106"/>
      <c r="IEX493" s="106"/>
      <c r="IEY493" s="106"/>
      <c r="IEZ493" s="106"/>
      <c r="IFA493" s="106"/>
      <c r="IFB493" s="106"/>
      <c r="IFC493" s="106"/>
      <c r="IFD493" s="106"/>
      <c r="IFE493" s="106"/>
      <c r="IFF493" s="106"/>
      <c r="IFG493" s="106"/>
      <c r="IFH493" s="106"/>
      <c r="IFI493" s="106"/>
      <c r="IFJ493" s="106"/>
      <c r="IFK493" s="106"/>
      <c r="IFL493" s="106"/>
      <c r="IFM493" s="106"/>
      <c r="IFN493" s="106"/>
      <c r="IFO493" s="106"/>
      <c r="IFP493" s="106"/>
      <c r="IFQ493" s="106"/>
      <c r="IFR493" s="106"/>
      <c r="IFS493" s="106"/>
      <c r="IFT493" s="106"/>
      <c r="IFU493" s="106"/>
      <c r="IFV493" s="106"/>
      <c r="IFW493" s="106"/>
      <c r="IFX493" s="106"/>
      <c r="IFY493" s="106"/>
      <c r="IFZ493" s="106"/>
      <c r="IGA493" s="106"/>
      <c r="IGB493" s="106"/>
      <c r="IGC493" s="106"/>
      <c r="IGD493" s="106"/>
      <c r="IGE493" s="106"/>
      <c r="IGF493" s="106"/>
      <c r="IGG493" s="106"/>
      <c r="IGH493" s="106"/>
      <c r="IGI493" s="106"/>
      <c r="IGJ493" s="106"/>
      <c r="IGK493" s="106"/>
      <c r="IGL493" s="106"/>
      <c r="IGM493" s="106"/>
      <c r="IGN493" s="106"/>
      <c r="IGO493" s="106"/>
      <c r="IGP493" s="106"/>
      <c r="IGQ493" s="106"/>
      <c r="IGR493" s="106"/>
      <c r="IGS493" s="106"/>
      <c r="IGT493" s="106"/>
      <c r="IGU493" s="106"/>
      <c r="IGV493" s="106"/>
      <c r="IGW493" s="106"/>
      <c r="IGX493" s="106"/>
      <c r="IGY493" s="106"/>
      <c r="IGZ493" s="106"/>
      <c r="IHA493" s="106"/>
      <c r="IHB493" s="106"/>
      <c r="IHC493" s="106"/>
      <c r="IHD493" s="106"/>
      <c r="IHE493" s="106"/>
      <c r="IHF493" s="106"/>
      <c r="IHG493" s="106"/>
      <c r="IHH493" s="106"/>
      <c r="IHI493" s="106"/>
      <c r="IHJ493" s="106"/>
      <c r="IHK493" s="106"/>
      <c r="IHL493" s="106"/>
      <c r="IHM493" s="106"/>
      <c r="IHN493" s="106"/>
      <c r="IHO493" s="106"/>
      <c r="IHP493" s="106"/>
      <c r="IHQ493" s="106"/>
      <c r="IHR493" s="106"/>
      <c r="IHS493" s="106"/>
      <c r="IHT493" s="106"/>
      <c r="IHU493" s="106"/>
      <c r="IHV493" s="106"/>
      <c r="IHW493" s="106"/>
      <c r="IHX493" s="106"/>
      <c r="IHY493" s="106"/>
      <c r="IHZ493" s="106"/>
      <c r="IIA493" s="106"/>
      <c r="IIB493" s="106"/>
      <c r="IIC493" s="106"/>
      <c r="IID493" s="106"/>
      <c r="IIE493" s="106"/>
      <c r="IIF493" s="106"/>
      <c r="IIG493" s="106"/>
      <c r="IIH493" s="106"/>
      <c r="III493" s="106"/>
      <c r="IIJ493" s="106"/>
      <c r="IIK493" s="106"/>
      <c r="IIL493" s="106"/>
      <c r="IIM493" s="106"/>
      <c r="IIN493" s="106"/>
      <c r="IIO493" s="106"/>
      <c r="IIP493" s="106"/>
      <c r="IIQ493" s="106"/>
      <c r="IIR493" s="106"/>
      <c r="IIS493" s="106"/>
      <c r="IIT493" s="106"/>
      <c r="IIU493" s="106"/>
      <c r="IIV493" s="106"/>
      <c r="IIW493" s="106"/>
      <c r="IIX493" s="106"/>
      <c r="IIY493" s="106"/>
      <c r="IIZ493" s="106"/>
      <c r="IJA493" s="106"/>
      <c r="IJB493" s="106"/>
      <c r="IJC493" s="106"/>
      <c r="IJD493" s="106"/>
      <c r="IJE493" s="106"/>
      <c r="IJF493" s="106"/>
      <c r="IJG493" s="106"/>
      <c r="IJH493" s="106"/>
      <c r="IJI493" s="106"/>
      <c r="IJJ493" s="106"/>
      <c r="IJK493" s="106"/>
      <c r="IJL493" s="106"/>
      <c r="IJM493" s="106"/>
      <c r="IJN493" s="106"/>
      <c r="IJO493" s="106"/>
      <c r="IJP493" s="106"/>
      <c r="IJQ493" s="106"/>
      <c r="IJR493" s="106"/>
      <c r="IJS493" s="106"/>
      <c r="IJT493" s="106"/>
      <c r="IJU493" s="106"/>
      <c r="IJV493" s="106"/>
      <c r="IJW493" s="106"/>
      <c r="IJX493" s="106"/>
      <c r="IJY493" s="106"/>
      <c r="IJZ493" s="106"/>
      <c r="IKA493" s="106"/>
      <c r="IKB493" s="106"/>
      <c r="IKC493" s="106"/>
      <c r="IKD493" s="106"/>
      <c r="IKE493" s="106"/>
      <c r="IKF493" s="106"/>
      <c r="IKG493" s="106"/>
      <c r="IKH493" s="106"/>
      <c r="IKI493" s="106"/>
      <c r="IKJ493" s="106"/>
      <c r="IKK493" s="106"/>
      <c r="IKL493" s="106"/>
      <c r="IKM493" s="106"/>
      <c r="IKN493" s="106"/>
      <c r="IKO493" s="106"/>
      <c r="IKP493" s="106"/>
      <c r="IKQ493" s="106"/>
      <c r="IKR493" s="106"/>
      <c r="IKS493" s="106"/>
      <c r="IKT493" s="106"/>
      <c r="IKU493" s="106"/>
      <c r="IKV493" s="106"/>
      <c r="IKW493" s="106"/>
      <c r="IKX493" s="106"/>
      <c r="IKY493" s="106"/>
      <c r="IKZ493" s="106"/>
      <c r="ILA493" s="106"/>
      <c r="ILB493" s="106"/>
      <c r="ILC493" s="106"/>
      <c r="ILD493" s="106"/>
      <c r="ILE493" s="106"/>
      <c r="ILF493" s="106"/>
      <c r="ILG493" s="106"/>
      <c r="ILH493" s="106"/>
      <c r="ILI493" s="106"/>
      <c r="ILJ493" s="106"/>
      <c r="ILK493" s="106"/>
      <c r="ILL493" s="106"/>
      <c r="ILM493" s="106"/>
      <c r="ILN493" s="106"/>
      <c r="ILO493" s="106"/>
      <c r="ILP493" s="106"/>
      <c r="ILQ493" s="106"/>
      <c r="ILR493" s="106"/>
      <c r="ILS493" s="106"/>
      <c r="ILT493" s="106"/>
      <c r="ILU493" s="106"/>
      <c r="ILV493" s="106"/>
      <c r="ILW493" s="106"/>
      <c r="ILX493" s="106"/>
      <c r="ILY493" s="106"/>
      <c r="ILZ493" s="106"/>
      <c r="IMA493" s="106"/>
      <c r="IMB493" s="106"/>
      <c r="IMC493" s="106"/>
      <c r="IMD493" s="106"/>
      <c r="IME493" s="106"/>
      <c r="IMF493" s="106"/>
      <c r="IMG493" s="106"/>
      <c r="IMH493" s="106"/>
      <c r="IMI493" s="106"/>
      <c r="IMJ493" s="106"/>
      <c r="IMK493" s="106"/>
      <c r="IML493" s="106"/>
      <c r="IMM493" s="106"/>
      <c r="IMN493" s="106"/>
      <c r="IMO493" s="106"/>
      <c r="IMP493" s="106"/>
      <c r="IMQ493" s="106"/>
      <c r="IMR493" s="106"/>
      <c r="IMS493" s="106"/>
      <c r="IMT493" s="106"/>
      <c r="IMU493" s="106"/>
      <c r="IMV493" s="106"/>
      <c r="IMW493" s="106"/>
      <c r="IMX493" s="106"/>
      <c r="IMY493" s="106"/>
      <c r="IMZ493" s="106"/>
      <c r="INA493" s="106"/>
      <c r="INB493" s="106"/>
      <c r="INC493" s="106"/>
      <c r="IND493" s="106"/>
      <c r="INE493" s="106"/>
      <c r="INF493" s="106"/>
      <c r="ING493" s="106"/>
      <c r="INH493" s="106"/>
      <c r="INI493" s="106"/>
      <c r="INJ493" s="106"/>
      <c r="INK493" s="106"/>
      <c r="INL493" s="106"/>
      <c r="INM493" s="106"/>
      <c r="INN493" s="106"/>
      <c r="INO493" s="106"/>
      <c r="INP493" s="106"/>
      <c r="INQ493" s="106"/>
      <c r="INR493" s="106"/>
      <c r="INS493" s="106"/>
      <c r="INT493" s="106"/>
      <c r="INU493" s="106"/>
      <c r="INV493" s="106"/>
      <c r="INW493" s="106"/>
      <c r="INX493" s="106"/>
      <c r="INY493" s="106"/>
      <c r="INZ493" s="106"/>
      <c r="IOA493" s="106"/>
      <c r="IOB493" s="106"/>
      <c r="IOC493" s="106"/>
      <c r="IOD493" s="106"/>
      <c r="IOE493" s="106"/>
      <c r="IOF493" s="106"/>
      <c r="IOG493" s="106"/>
      <c r="IOH493" s="106"/>
      <c r="IOI493" s="106"/>
      <c r="IOJ493" s="106"/>
      <c r="IOK493" s="106"/>
      <c r="IOL493" s="106"/>
      <c r="IOM493" s="106"/>
      <c r="ION493" s="106"/>
      <c r="IOO493" s="106"/>
      <c r="IOP493" s="106"/>
      <c r="IOQ493" s="106"/>
      <c r="IOR493" s="106"/>
      <c r="IOS493" s="106"/>
      <c r="IOT493" s="106"/>
      <c r="IOU493" s="106"/>
      <c r="IOV493" s="106"/>
      <c r="IOW493" s="106"/>
      <c r="IOX493" s="106"/>
      <c r="IOY493" s="106"/>
      <c r="IOZ493" s="106"/>
      <c r="IPA493" s="106"/>
      <c r="IPB493" s="106"/>
      <c r="IPC493" s="106"/>
      <c r="IPD493" s="106"/>
      <c r="IPE493" s="106"/>
      <c r="IPF493" s="106"/>
      <c r="IPG493" s="106"/>
      <c r="IPH493" s="106"/>
      <c r="IPI493" s="106"/>
      <c r="IPJ493" s="106"/>
      <c r="IPK493" s="106"/>
      <c r="IPL493" s="106"/>
      <c r="IPM493" s="106"/>
      <c r="IPN493" s="106"/>
      <c r="IPO493" s="106"/>
      <c r="IPP493" s="106"/>
      <c r="IPQ493" s="106"/>
      <c r="IPR493" s="106"/>
      <c r="IPS493" s="106"/>
      <c r="IPT493" s="106"/>
      <c r="IPU493" s="106"/>
      <c r="IPV493" s="106"/>
      <c r="IPW493" s="106"/>
      <c r="IPX493" s="106"/>
      <c r="IPY493" s="106"/>
      <c r="IPZ493" s="106"/>
      <c r="IQA493" s="106"/>
      <c r="IQB493" s="106"/>
      <c r="IQC493" s="106"/>
      <c r="IQD493" s="106"/>
      <c r="IQE493" s="106"/>
      <c r="IQF493" s="106"/>
      <c r="IQG493" s="106"/>
      <c r="IQH493" s="106"/>
      <c r="IQI493" s="106"/>
      <c r="IQJ493" s="106"/>
      <c r="IQK493" s="106"/>
      <c r="IQL493" s="106"/>
      <c r="IQM493" s="106"/>
      <c r="IQN493" s="106"/>
      <c r="IQO493" s="106"/>
      <c r="IQP493" s="106"/>
      <c r="IQQ493" s="106"/>
      <c r="IQR493" s="106"/>
      <c r="IQS493" s="106"/>
      <c r="IQT493" s="106"/>
      <c r="IQU493" s="106"/>
      <c r="IQV493" s="106"/>
      <c r="IQW493" s="106"/>
      <c r="IQX493" s="106"/>
      <c r="IQY493" s="106"/>
      <c r="IQZ493" s="106"/>
      <c r="IRA493" s="106"/>
      <c r="IRB493" s="106"/>
      <c r="IRC493" s="106"/>
      <c r="IRD493" s="106"/>
      <c r="IRE493" s="106"/>
      <c r="IRF493" s="106"/>
      <c r="IRG493" s="106"/>
      <c r="IRH493" s="106"/>
      <c r="IRI493" s="106"/>
      <c r="IRJ493" s="106"/>
      <c r="IRK493" s="106"/>
      <c r="IRL493" s="106"/>
      <c r="IRM493" s="106"/>
      <c r="IRN493" s="106"/>
      <c r="IRO493" s="106"/>
      <c r="IRP493" s="106"/>
      <c r="IRQ493" s="106"/>
      <c r="IRR493" s="106"/>
      <c r="IRS493" s="106"/>
      <c r="IRT493" s="106"/>
      <c r="IRU493" s="106"/>
      <c r="IRV493" s="106"/>
      <c r="IRW493" s="106"/>
      <c r="IRX493" s="106"/>
      <c r="IRY493" s="106"/>
      <c r="IRZ493" s="106"/>
      <c r="ISA493" s="106"/>
      <c r="ISB493" s="106"/>
      <c r="ISC493" s="106"/>
      <c r="ISD493" s="106"/>
      <c r="ISE493" s="106"/>
      <c r="ISF493" s="106"/>
      <c r="ISG493" s="106"/>
      <c r="ISH493" s="106"/>
      <c r="ISI493" s="106"/>
      <c r="ISJ493" s="106"/>
      <c r="ISK493" s="106"/>
      <c r="ISL493" s="106"/>
      <c r="ISM493" s="106"/>
      <c r="ISN493" s="106"/>
      <c r="ISO493" s="106"/>
      <c r="ISP493" s="106"/>
      <c r="ISQ493" s="106"/>
      <c r="ISR493" s="106"/>
      <c r="ISS493" s="106"/>
      <c r="IST493" s="106"/>
      <c r="ISU493" s="106"/>
      <c r="ISV493" s="106"/>
      <c r="ISW493" s="106"/>
      <c r="ISX493" s="106"/>
      <c r="ISY493" s="106"/>
      <c r="ISZ493" s="106"/>
      <c r="ITA493" s="106"/>
      <c r="ITB493" s="106"/>
      <c r="ITC493" s="106"/>
      <c r="ITD493" s="106"/>
      <c r="ITE493" s="106"/>
      <c r="ITF493" s="106"/>
      <c r="ITG493" s="106"/>
      <c r="ITH493" s="106"/>
      <c r="ITI493" s="106"/>
      <c r="ITJ493" s="106"/>
      <c r="ITK493" s="106"/>
      <c r="ITL493" s="106"/>
      <c r="ITM493" s="106"/>
      <c r="ITN493" s="106"/>
      <c r="ITO493" s="106"/>
      <c r="ITP493" s="106"/>
      <c r="ITQ493" s="106"/>
      <c r="ITR493" s="106"/>
      <c r="ITS493" s="106"/>
      <c r="ITT493" s="106"/>
      <c r="ITU493" s="106"/>
      <c r="ITV493" s="106"/>
      <c r="ITW493" s="106"/>
      <c r="ITX493" s="106"/>
      <c r="ITY493" s="106"/>
      <c r="ITZ493" s="106"/>
      <c r="IUA493" s="106"/>
      <c r="IUB493" s="106"/>
      <c r="IUC493" s="106"/>
      <c r="IUD493" s="106"/>
      <c r="IUE493" s="106"/>
      <c r="IUF493" s="106"/>
      <c r="IUG493" s="106"/>
      <c r="IUH493" s="106"/>
      <c r="IUI493" s="106"/>
      <c r="IUJ493" s="106"/>
      <c r="IUK493" s="106"/>
      <c r="IUL493" s="106"/>
      <c r="IUM493" s="106"/>
      <c r="IUN493" s="106"/>
      <c r="IUO493" s="106"/>
      <c r="IUP493" s="106"/>
      <c r="IUQ493" s="106"/>
      <c r="IUR493" s="106"/>
      <c r="IUS493" s="106"/>
      <c r="IUT493" s="106"/>
      <c r="IUU493" s="106"/>
      <c r="IUV493" s="106"/>
      <c r="IUW493" s="106"/>
      <c r="IUX493" s="106"/>
      <c r="IUY493" s="106"/>
      <c r="IUZ493" s="106"/>
      <c r="IVA493" s="106"/>
      <c r="IVB493" s="106"/>
      <c r="IVC493" s="106"/>
      <c r="IVD493" s="106"/>
      <c r="IVE493" s="106"/>
      <c r="IVF493" s="106"/>
      <c r="IVG493" s="106"/>
      <c r="IVH493" s="106"/>
      <c r="IVI493" s="106"/>
      <c r="IVJ493" s="106"/>
      <c r="IVK493" s="106"/>
      <c r="IVL493" s="106"/>
      <c r="IVM493" s="106"/>
      <c r="IVN493" s="106"/>
      <c r="IVO493" s="106"/>
      <c r="IVP493" s="106"/>
      <c r="IVQ493" s="106"/>
      <c r="IVR493" s="106"/>
      <c r="IVS493" s="106"/>
      <c r="IVT493" s="106"/>
      <c r="IVU493" s="106"/>
      <c r="IVV493" s="106"/>
      <c r="IVW493" s="106"/>
      <c r="IVX493" s="106"/>
      <c r="IVY493" s="106"/>
      <c r="IVZ493" s="106"/>
      <c r="IWA493" s="106"/>
      <c r="IWB493" s="106"/>
      <c r="IWC493" s="106"/>
      <c r="IWD493" s="106"/>
      <c r="IWE493" s="106"/>
      <c r="IWF493" s="106"/>
      <c r="IWG493" s="106"/>
      <c r="IWH493" s="106"/>
      <c r="IWI493" s="106"/>
      <c r="IWJ493" s="106"/>
      <c r="IWK493" s="106"/>
      <c r="IWL493" s="106"/>
      <c r="IWM493" s="106"/>
      <c r="IWN493" s="106"/>
      <c r="IWO493" s="106"/>
      <c r="IWP493" s="106"/>
      <c r="IWQ493" s="106"/>
      <c r="IWR493" s="106"/>
      <c r="IWS493" s="106"/>
      <c r="IWT493" s="106"/>
      <c r="IWU493" s="106"/>
      <c r="IWV493" s="106"/>
      <c r="IWW493" s="106"/>
      <c r="IWX493" s="106"/>
      <c r="IWY493" s="106"/>
      <c r="IWZ493" s="106"/>
      <c r="IXA493" s="106"/>
      <c r="IXB493" s="106"/>
      <c r="IXC493" s="106"/>
      <c r="IXD493" s="106"/>
      <c r="IXE493" s="106"/>
      <c r="IXF493" s="106"/>
      <c r="IXG493" s="106"/>
      <c r="IXH493" s="106"/>
      <c r="IXI493" s="106"/>
      <c r="IXJ493" s="106"/>
      <c r="IXK493" s="106"/>
      <c r="IXL493" s="106"/>
      <c r="IXM493" s="106"/>
      <c r="IXN493" s="106"/>
      <c r="IXO493" s="106"/>
      <c r="IXP493" s="106"/>
      <c r="IXQ493" s="106"/>
      <c r="IXR493" s="106"/>
      <c r="IXS493" s="106"/>
      <c r="IXT493" s="106"/>
      <c r="IXU493" s="106"/>
      <c r="IXV493" s="106"/>
      <c r="IXW493" s="106"/>
      <c r="IXX493" s="106"/>
      <c r="IXY493" s="106"/>
      <c r="IXZ493" s="106"/>
      <c r="IYA493" s="106"/>
      <c r="IYB493" s="106"/>
      <c r="IYC493" s="106"/>
      <c r="IYD493" s="106"/>
      <c r="IYE493" s="106"/>
      <c r="IYF493" s="106"/>
      <c r="IYG493" s="106"/>
      <c r="IYH493" s="106"/>
      <c r="IYI493" s="106"/>
      <c r="IYJ493" s="106"/>
      <c r="IYK493" s="106"/>
      <c r="IYL493" s="106"/>
      <c r="IYM493" s="106"/>
      <c r="IYN493" s="106"/>
      <c r="IYO493" s="106"/>
      <c r="IYP493" s="106"/>
      <c r="IYQ493" s="106"/>
      <c r="IYR493" s="106"/>
      <c r="IYS493" s="106"/>
      <c r="IYT493" s="106"/>
      <c r="IYU493" s="106"/>
      <c r="IYV493" s="106"/>
      <c r="IYW493" s="106"/>
      <c r="IYX493" s="106"/>
      <c r="IYY493" s="106"/>
      <c r="IYZ493" s="106"/>
      <c r="IZA493" s="106"/>
      <c r="IZB493" s="106"/>
      <c r="IZC493" s="106"/>
      <c r="IZD493" s="106"/>
      <c r="IZE493" s="106"/>
      <c r="IZF493" s="106"/>
      <c r="IZG493" s="106"/>
      <c r="IZH493" s="106"/>
      <c r="IZI493" s="106"/>
      <c r="IZJ493" s="106"/>
      <c r="IZK493" s="106"/>
      <c r="IZL493" s="106"/>
      <c r="IZM493" s="106"/>
      <c r="IZN493" s="106"/>
      <c r="IZO493" s="106"/>
      <c r="IZP493" s="106"/>
      <c r="IZQ493" s="106"/>
      <c r="IZR493" s="106"/>
      <c r="IZS493" s="106"/>
      <c r="IZT493" s="106"/>
      <c r="IZU493" s="106"/>
      <c r="IZV493" s="106"/>
      <c r="IZW493" s="106"/>
      <c r="IZX493" s="106"/>
      <c r="IZY493" s="106"/>
      <c r="IZZ493" s="106"/>
      <c r="JAA493" s="106"/>
      <c r="JAB493" s="106"/>
      <c r="JAC493" s="106"/>
      <c r="JAD493" s="106"/>
      <c r="JAE493" s="106"/>
      <c r="JAF493" s="106"/>
      <c r="JAG493" s="106"/>
      <c r="JAH493" s="106"/>
      <c r="JAI493" s="106"/>
      <c r="JAJ493" s="106"/>
      <c r="JAK493" s="106"/>
      <c r="JAL493" s="106"/>
      <c r="JAM493" s="106"/>
      <c r="JAN493" s="106"/>
      <c r="JAO493" s="106"/>
      <c r="JAP493" s="106"/>
      <c r="JAQ493" s="106"/>
      <c r="JAR493" s="106"/>
      <c r="JAS493" s="106"/>
      <c r="JAT493" s="106"/>
      <c r="JAU493" s="106"/>
      <c r="JAV493" s="106"/>
      <c r="JAW493" s="106"/>
      <c r="JAX493" s="106"/>
      <c r="JAY493" s="106"/>
      <c r="JAZ493" s="106"/>
      <c r="JBA493" s="106"/>
      <c r="JBB493" s="106"/>
      <c r="JBC493" s="106"/>
      <c r="JBD493" s="106"/>
      <c r="JBE493" s="106"/>
      <c r="JBF493" s="106"/>
      <c r="JBG493" s="106"/>
      <c r="JBH493" s="106"/>
      <c r="JBI493" s="106"/>
      <c r="JBJ493" s="106"/>
      <c r="JBK493" s="106"/>
      <c r="JBL493" s="106"/>
      <c r="JBM493" s="106"/>
      <c r="JBN493" s="106"/>
      <c r="JBO493" s="106"/>
      <c r="JBP493" s="106"/>
      <c r="JBQ493" s="106"/>
      <c r="JBR493" s="106"/>
      <c r="JBS493" s="106"/>
      <c r="JBT493" s="106"/>
      <c r="JBU493" s="106"/>
      <c r="JBV493" s="106"/>
      <c r="JBW493" s="106"/>
      <c r="JBX493" s="106"/>
      <c r="JBY493" s="106"/>
      <c r="JBZ493" s="106"/>
      <c r="JCA493" s="106"/>
      <c r="JCB493" s="106"/>
      <c r="JCC493" s="106"/>
      <c r="JCD493" s="106"/>
      <c r="JCE493" s="106"/>
      <c r="JCF493" s="106"/>
      <c r="JCG493" s="106"/>
      <c r="JCH493" s="106"/>
      <c r="JCI493" s="106"/>
      <c r="JCJ493" s="106"/>
      <c r="JCK493" s="106"/>
      <c r="JCL493" s="106"/>
      <c r="JCM493" s="106"/>
      <c r="JCN493" s="106"/>
      <c r="JCO493" s="106"/>
      <c r="JCP493" s="106"/>
      <c r="JCQ493" s="106"/>
      <c r="JCR493" s="106"/>
      <c r="JCS493" s="106"/>
      <c r="JCT493" s="106"/>
      <c r="JCU493" s="106"/>
      <c r="JCV493" s="106"/>
      <c r="JCW493" s="106"/>
      <c r="JCX493" s="106"/>
      <c r="JCY493" s="106"/>
      <c r="JCZ493" s="106"/>
      <c r="JDA493" s="106"/>
      <c r="JDB493" s="106"/>
      <c r="JDC493" s="106"/>
      <c r="JDD493" s="106"/>
      <c r="JDE493" s="106"/>
      <c r="JDF493" s="106"/>
      <c r="JDG493" s="106"/>
      <c r="JDH493" s="106"/>
      <c r="JDI493" s="106"/>
      <c r="JDJ493" s="106"/>
      <c r="JDK493" s="106"/>
      <c r="JDL493" s="106"/>
      <c r="JDM493" s="106"/>
      <c r="JDN493" s="106"/>
      <c r="JDO493" s="106"/>
      <c r="JDP493" s="106"/>
      <c r="JDQ493" s="106"/>
      <c r="JDR493" s="106"/>
      <c r="JDS493" s="106"/>
      <c r="JDT493" s="106"/>
      <c r="JDU493" s="106"/>
      <c r="JDV493" s="106"/>
      <c r="JDW493" s="106"/>
      <c r="JDX493" s="106"/>
      <c r="JDY493" s="106"/>
      <c r="JDZ493" s="106"/>
      <c r="JEA493" s="106"/>
      <c r="JEB493" s="106"/>
      <c r="JEC493" s="106"/>
      <c r="JED493" s="106"/>
      <c r="JEE493" s="106"/>
      <c r="JEF493" s="106"/>
      <c r="JEG493" s="106"/>
      <c r="JEH493" s="106"/>
      <c r="JEI493" s="106"/>
      <c r="JEJ493" s="106"/>
      <c r="JEK493" s="106"/>
      <c r="JEL493" s="106"/>
      <c r="JEM493" s="106"/>
      <c r="JEN493" s="106"/>
      <c r="JEO493" s="106"/>
      <c r="JEP493" s="106"/>
      <c r="JEQ493" s="106"/>
      <c r="JER493" s="106"/>
      <c r="JES493" s="106"/>
      <c r="JET493" s="106"/>
      <c r="JEU493" s="106"/>
      <c r="JEV493" s="106"/>
      <c r="JEW493" s="106"/>
      <c r="JEX493" s="106"/>
      <c r="JEY493" s="106"/>
      <c r="JEZ493" s="106"/>
      <c r="JFA493" s="106"/>
      <c r="JFB493" s="106"/>
      <c r="JFC493" s="106"/>
      <c r="JFD493" s="106"/>
      <c r="JFE493" s="106"/>
      <c r="JFF493" s="106"/>
      <c r="JFG493" s="106"/>
      <c r="JFH493" s="106"/>
      <c r="JFI493" s="106"/>
      <c r="JFJ493" s="106"/>
      <c r="JFK493" s="106"/>
      <c r="JFL493" s="106"/>
      <c r="JFM493" s="106"/>
      <c r="JFN493" s="106"/>
      <c r="JFO493" s="106"/>
      <c r="JFP493" s="106"/>
      <c r="JFQ493" s="106"/>
      <c r="JFR493" s="106"/>
      <c r="JFS493" s="106"/>
      <c r="JFT493" s="106"/>
      <c r="JFU493" s="106"/>
      <c r="JFV493" s="106"/>
      <c r="JFW493" s="106"/>
      <c r="JFX493" s="106"/>
      <c r="JFY493" s="106"/>
      <c r="JFZ493" s="106"/>
      <c r="JGA493" s="106"/>
      <c r="JGB493" s="106"/>
      <c r="JGC493" s="106"/>
      <c r="JGD493" s="106"/>
      <c r="JGE493" s="106"/>
      <c r="JGF493" s="106"/>
      <c r="JGG493" s="106"/>
      <c r="JGH493" s="106"/>
      <c r="JGI493" s="106"/>
      <c r="JGJ493" s="106"/>
      <c r="JGK493" s="106"/>
      <c r="JGL493" s="106"/>
      <c r="JGM493" s="106"/>
      <c r="JGN493" s="106"/>
      <c r="JGO493" s="106"/>
      <c r="JGP493" s="106"/>
      <c r="JGQ493" s="106"/>
      <c r="JGR493" s="106"/>
      <c r="JGS493" s="106"/>
      <c r="JGT493" s="106"/>
      <c r="JGU493" s="106"/>
      <c r="JGV493" s="106"/>
      <c r="JGW493" s="106"/>
      <c r="JGX493" s="106"/>
      <c r="JGY493" s="106"/>
      <c r="JGZ493" s="106"/>
      <c r="JHA493" s="106"/>
      <c r="JHB493" s="106"/>
      <c r="JHC493" s="106"/>
      <c r="JHD493" s="106"/>
      <c r="JHE493" s="106"/>
      <c r="JHF493" s="106"/>
      <c r="JHG493" s="106"/>
      <c r="JHH493" s="106"/>
      <c r="JHI493" s="106"/>
      <c r="JHJ493" s="106"/>
      <c r="JHK493" s="106"/>
      <c r="JHL493" s="106"/>
      <c r="JHM493" s="106"/>
      <c r="JHN493" s="106"/>
      <c r="JHO493" s="106"/>
      <c r="JHP493" s="106"/>
      <c r="JHQ493" s="106"/>
      <c r="JHR493" s="106"/>
      <c r="JHS493" s="106"/>
      <c r="JHT493" s="106"/>
      <c r="JHU493" s="106"/>
      <c r="JHV493" s="106"/>
      <c r="JHW493" s="106"/>
      <c r="JHX493" s="106"/>
      <c r="JHY493" s="106"/>
      <c r="JHZ493" s="106"/>
      <c r="JIA493" s="106"/>
      <c r="JIB493" s="106"/>
      <c r="JIC493" s="106"/>
      <c r="JID493" s="106"/>
      <c r="JIE493" s="106"/>
      <c r="JIF493" s="106"/>
      <c r="JIG493" s="106"/>
      <c r="JIH493" s="106"/>
      <c r="JII493" s="106"/>
      <c r="JIJ493" s="106"/>
      <c r="JIK493" s="106"/>
      <c r="JIL493" s="106"/>
      <c r="JIM493" s="106"/>
      <c r="JIN493" s="106"/>
      <c r="JIO493" s="106"/>
      <c r="JIP493" s="106"/>
      <c r="JIQ493" s="106"/>
      <c r="JIR493" s="106"/>
      <c r="JIS493" s="106"/>
      <c r="JIT493" s="106"/>
      <c r="JIU493" s="106"/>
      <c r="JIV493" s="106"/>
      <c r="JIW493" s="106"/>
      <c r="JIX493" s="106"/>
      <c r="JIY493" s="106"/>
      <c r="JIZ493" s="106"/>
      <c r="JJA493" s="106"/>
      <c r="JJB493" s="106"/>
      <c r="JJC493" s="106"/>
      <c r="JJD493" s="106"/>
      <c r="JJE493" s="106"/>
      <c r="JJF493" s="106"/>
      <c r="JJG493" s="106"/>
      <c r="JJH493" s="106"/>
      <c r="JJI493" s="106"/>
      <c r="JJJ493" s="106"/>
      <c r="JJK493" s="106"/>
      <c r="JJL493" s="106"/>
      <c r="JJM493" s="106"/>
      <c r="JJN493" s="106"/>
      <c r="JJO493" s="106"/>
      <c r="JJP493" s="106"/>
      <c r="JJQ493" s="106"/>
      <c r="JJR493" s="106"/>
      <c r="JJS493" s="106"/>
      <c r="JJT493" s="106"/>
      <c r="JJU493" s="106"/>
      <c r="JJV493" s="106"/>
      <c r="JJW493" s="106"/>
      <c r="JJX493" s="106"/>
      <c r="JJY493" s="106"/>
      <c r="JJZ493" s="106"/>
      <c r="JKA493" s="106"/>
      <c r="JKB493" s="106"/>
      <c r="JKC493" s="106"/>
      <c r="JKD493" s="106"/>
      <c r="JKE493" s="106"/>
      <c r="JKF493" s="106"/>
      <c r="JKG493" s="106"/>
      <c r="JKH493" s="106"/>
      <c r="JKI493" s="106"/>
      <c r="JKJ493" s="106"/>
      <c r="JKK493" s="106"/>
      <c r="JKL493" s="106"/>
      <c r="JKM493" s="106"/>
      <c r="JKN493" s="106"/>
      <c r="JKO493" s="106"/>
      <c r="JKP493" s="106"/>
      <c r="JKQ493" s="106"/>
      <c r="JKR493" s="106"/>
      <c r="JKS493" s="106"/>
      <c r="JKT493" s="106"/>
      <c r="JKU493" s="106"/>
      <c r="JKV493" s="106"/>
      <c r="JKW493" s="106"/>
      <c r="JKX493" s="106"/>
      <c r="JKY493" s="106"/>
      <c r="JKZ493" s="106"/>
      <c r="JLA493" s="106"/>
      <c r="JLB493" s="106"/>
      <c r="JLC493" s="106"/>
      <c r="JLD493" s="106"/>
      <c r="JLE493" s="106"/>
      <c r="JLF493" s="106"/>
      <c r="JLG493" s="106"/>
      <c r="JLH493" s="106"/>
      <c r="JLI493" s="106"/>
      <c r="JLJ493" s="106"/>
      <c r="JLK493" s="106"/>
      <c r="JLL493" s="106"/>
      <c r="JLM493" s="106"/>
      <c r="JLN493" s="106"/>
      <c r="JLO493" s="106"/>
      <c r="JLP493" s="106"/>
      <c r="JLQ493" s="106"/>
      <c r="JLR493" s="106"/>
      <c r="JLS493" s="106"/>
      <c r="JLT493" s="106"/>
      <c r="JLU493" s="106"/>
      <c r="JLV493" s="106"/>
      <c r="JLW493" s="106"/>
      <c r="JLX493" s="106"/>
      <c r="JLY493" s="106"/>
      <c r="JLZ493" s="106"/>
      <c r="JMA493" s="106"/>
      <c r="JMB493" s="106"/>
      <c r="JMC493" s="106"/>
      <c r="JMD493" s="106"/>
      <c r="JME493" s="106"/>
      <c r="JMF493" s="106"/>
      <c r="JMG493" s="106"/>
      <c r="JMH493" s="106"/>
      <c r="JMI493" s="106"/>
      <c r="JMJ493" s="106"/>
      <c r="JMK493" s="106"/>
      <c r="JML493" s="106"/>
      <c r="JMM493" s="106"/>
      <c r="JMN493" s="106"/>
      <c r="JMO493" s="106"/>
      <c r="JMP493" s="106"/>
      <c r="JMQ493" s="106"/>
      <c r="JMR493" s="106"/>
      <c r="JMS493" s="106"/>
      <c r="JMT493" s="106"/>
      <c r="JMU493" s="106"/>
      <c r="JMV493" s="106"/>
      <c r="JMW493" s="106"/>
      <c r="JMX493" s="106"/>
      <c r="JMY493" s="106"/>
      <c r="JMZ493" s="106"/>
      <c r="JNA493" s="106"/>
      <c r="JNB493" s="106"/>
      <c r="JNC493" s="106"/>
      <c r="JND493" s="106"/>
      <c r="JNE493" s="106"/>
      <c r="JNF493" s="106"/>
      <c r="JNG493" s="106"/>
      <c r="JNH493" s="106"/>
      <c r="JNI493" s="106"/>
      <c r="JNJ493" s="106"/>
      <c r="JNK493" s="106"/>
      <c r="JNL493" s="106"/>
      <c r="JNM493" s="106"/>
      <c r="JNN493" s="106"/>
      <c r="JNO493" s="106"/>
      <c r="JNP493" s="106"/>
      <c r="JNQ493" s="106"/>
      <c r="JNR493" s="106"/>
      <c r="JNS493" s="106"/>
      <c r="JNT493" s="106"/>
      <c r="JNU493" s="106"/>
      <c r="JNV493" s="106"/>
      <c r="JNW493" s="106"/>
      <c r="JNX493" s="106"/>
      <c r="JNY493" s="106"/>
      <c r="JNZ493" s="106"/>
      <c r="JOA493" s="106"/>
      <c r="JOB493" s="106"/>
      <c r="JOC493" s="106"/>
      <c r="JOD493" s="106"/>
      <c r="JOE493" s="106"/>
      <c r="JOF493" s="106"/>
      <c r="JOG493" s="106"/>
      <c r="JOH493" s="106"/>
      <c r="JOI493" s="106"/>
      <c r="JOJ493" s="106"/>
      <c r="JOK493" s="106"/>
      <c r="JOL493" s="106"/>
      <c r="JOM493" s="106"/>
      <c r="JON493" s="106"/>
      <c r="JOO493" s="106"/>
      <c r="JOP493" s="106"/>
      <c r="JOQ493" s="106"/>
      <c r="JOR493" s="106"/>
      <c r="JOS493" s="106"/>
      <c r="JOT493" s="106"/>
      <c r="JOU493" s="106"/>
      <c r="JOV493" s="106"/>
      <c r="JOW493" s="106"/>
      <c r="JOX493" s="106"/>
      <c r="JOY493" s="106"/>
      <c r="JOZ493" s="106"/>
      <c r="JPA493" s="106"/>
      <c r="JPB493" s="106"/>
      <c r="JPC493" s="106"/>
      <c r="JPD493" s="106"/>
      <c r="JPE493" s="106"/>
      <c r="JPF493" s="106"/>
      <c r="JPG493" s="106"/>
      <c r="JPH493" s="106"/>
      <c r="JPI493" s="106"/>
      <c r="JPJ493" s="106"/>
      <c r="JPK493" s="106"/>
      <c r="JPL493" s="106"/>
      <c r="JPM493" s="106"/>
      <c r="JPN493" s="106"/>
      <c r="JPO493" s="106"/>
      <c r="JPP493" s="106"/>
      <c r="JPQ493" s="106"/>
      <c r="JPR493" s="106"/>
      <c r="JPS493" s="106"/>
      <c r="JPT493" s="106"/>
      <c r="JPU493" s="106"/>
      <c r="JPV493" s="106"/>
      <c r="JPW493" s="106"/>
      <c r="JPX493" s="106"/>
      <c r="JPY493" s="106"/>
      <c r="JPZ493" s="106"/>
      <c r="JQA493" s="106"/>
      <c r="JQB493" s="106"/>
      <c r="JQC493" s="106"/>
      <c r="JQD493" s="106"/>
      <c r="JQE493" s="106"/>
      <c r="JQF493" s="106"/>
      <c r="JQG493" s="106"/>
      <c r="JQH493" s="106"/>
      <c r="JQI493" s="106"/>
      <c r="JQJ493" s="106"/>
      <c r="JQK493" s="106"/>
      <c r="JQL493" s="106"/>
      <c r="JQM493" s="106"/>
      <c r="JQN493" s="106"/>
      <c r="JQO493" s="106"/>
      <c r="JQP493" s="106"/>
      <c r="JQQ493" s="106"/>
      <c r="JQR493" s="106"/>
      <c r="JQS493" s="106"/>
      <c r="JQT493" s="106"/>
      <c r="JQU493" s="106"/>
      <c r="JQV493" s="106"/>
      <c r="JQW493" s="106"/>
      <c r="JQX493" s="106"/>
      <c r="JQY493" s="106"/>
      <c r="JQZ493" s="106"/>
      <c r="JRA493" s="106"/>
      <c r="JRB493" s="106"/>
      <c r="JRC493" s="106"/>
      <c r="JRD493" s="106"/>
      <c r="JRE493" s="106"/>
      <c r="JRF493" s="106"/>
      <c r="JRG493" s="106"/>
      <c r="JRH493" s="106"/>
      <c r="JRI493" s="106"/>
      <c r="JRJ493" s="106"/>
      <c r="JRK493" s="106"/>
      <c r="JRL493" s="106"/>
      <c r="JRM493" s="106"/>
      <c r="JRN493" s="106"/>
      <c r="JRO493" s="106"/>
      <c r="JRP493" s="106"/>
      <c r="JRQ493" s="106"/>
      <c r="JRR493" s="106"/>
      <c r="JRS493" s="106"/>
      <c r="JRT493" s="106"/>
      <c r="JRU493" s="106"/>
      <c r="JRV493" s="106"/>
      <c r="JRW493" s="106"/>
      <c r="JRX493" s="106"/>
      <c r="JRY493" s="106"/>
      <c r="JRZ493" s="106"/>
      <c r="JSA493" s="106"/>
      <c r="JSB493" s="106"/>
      <c r="JSC493" s="106"/>
      <c r="JSD493" s="106"/>
      <c r="JSE493" s="106"/>
      <c r="JSF493" s="106"/>
      <c r="JSG493" s="106"/>
      <c r="JSH493" s="106"/>
      <c r="JSI493" s="106"/>
      <c r="JSJ493" s="106"/>
      <c r="JSK493" s="106"/>
      <c r="JSL493" s="106"/>
      <c r="JSM493" s="106"/>
      <c r="JSN493" s="106"/>
      <c r="JSO493" s="106"/>
      <c r="JSP493" s="106"/>
      <c r="JSQ493" s="106"/>
      <c r="JSR493" s="106"/>
      <c r="JSS493" s="106"/>
      <c r="JST493" s="106"/>
      <c r="JSU493" s="106"/>
      <c r="JSV493" s="106"/>
      <c r="JSW493" s="106"/>
      <c r="JSX493" s="106"/>
      <c r="JSY493" s="106"/>
      <c r="JSZ493" s="106"/>
      <c r="JTA493" s="106"/>
      <c r="JTB493" s="106"/>
      <c r="JTC493" s="106"/>
      <c r="JTD493" s="106"/>
      <c r="JTE493" s="106"/>
      <c r="JTF493" s="106"/>
      <c r="JTG493" s="106"/>
      <c r="JTH493" s="106"/>
      <c r="JTI493" s="106"/>
      <c r="JTJ493" s="106"/>
      <c r="JTK493" s="106"/>
      <c r="JTL493" s="106"/>
      <c r="JTM493" s="106"/>
      <c r="JTN493" s="106"/>
      <c r="JTO493" s="106"/>
      <c r="JTP493" s="106"/>
      <c r="JTQ493" s="106"/>
      <c r="JTR493" s="106"/>
      <c r="JTS493" s="106"/>
      <c r="JTT493" s="106"/>
      <c r="JTU493" s="106"/>
      <c r="JTV493" s="106"/>
      <c r="JTW493" s="106"/>
      <c r="JTX493" s="106"/>
      <c r="JTY493" s="106"/>
      <c r="JTZ493" s="106"/>
      <c r="JUA493" s="106"/>
      <c r="JUB493" s="106"/>
      <c r="JUC493" s="106"/>
      <c r="JUD493" s="106"/>
      <c r="JUE493" s="106"/>
      <c r="JUF493" s="106"/>
      <c r="JUG493" s="106"/>
      <c r="JUH493" s="106"/>
      <c r="JUI493" s="106"/>
      <c r="JUJ493" s="106"/>
      <c r="JUK493" s="106"/>
      <c r="JUL493" s="106"/>
      <c r="JUM493" s="106"/>
      <c r="JUN493" s="106"/>
      <c r="JUO493" s="106"/>
      <c r="JUP493" s="106"/>
      <c r="JUQ493" s="106"/>
      <c r="JUR493" s="106"/>
      <c r="JUS493" s="106"/>
      <c r="JUT493" s="106"/>
      <c r="JUU493" s="106"/>
      <c r="JUV493" s="106"/>
      <c r="JUW493" s="106"/>
      <c r="JUX493" s="106"/>
      <c r="JUY493" s="106"/>
      <c r="JUZ493" s="106"/>
      <c r="JVA493" s="106"/>
      <c r="JVB493" s="106"/>
      <c r="JVC493" s="106"/>
      <c r="JVD493" s="106"/>
      <c r="JVE493" s="106"/>
      <c r="JVF493" s="106"/>
      <c r="JVG493" s="106"/>
      <c r="JVH493" s="106"/>
      <c r="JVI493" s="106"/>
      <c r="JVJ493" s="106"/>
      <c r="JVK493" s="106"/>
      <c r="JVL493" s="106"/>
      <c r="JVM493" s="106"/>
      <c r="JVN493" s="106"/>
      <c r="JVO493" s="106"/>
      <c r="JVP493" s="106"/>
      <c r="JVQ493" s="106"/>
      <c r="JVR493" s="106"/>
      <c r="JVS493" s="106"/>
      <c r="JVT493" s="106"/>
      <c r="JVU493" s="106"/>
      <c r="JVV493" s="106"/>
      <c r="JVW493" s="106"/>
      <c r="JVX493" s="106"/>
      <c r="JVY493" s="106"/>
      <c r="JVZ493" s="106"/>
      <c r="JWA493" s="106"/>
      <c r="JWB493" s="106"/>
      <c r="JWC493" s="106"/>
      <c r="JWD493" s="106"/>
      <c r="JWE493" s="106"/>
      <c r="JWF493" s="106"/>
      <c r="JWG493" s="106"/>
      <c r="JWH493" s="106"/>
      <c r="JWI493" s="106"/>
      <c r="JWJ493" s="106"/>
      <c r="JWK493" s="106"/>
      <c r="JWL493" s="106"/>
      <c r="JWM493" s="106"/>
      <c r="JWN493" s="106"/>
      <c r="JWO493" s="106"/>
      <c r="JWP493" s="106"/>
      <c r="JWQ493" s="106"/>
      <c r="JWR493" s="106"/>
      <c r="JWS493" s="106"/>
      <c r="JWT493" s="106"/>
      <c r="JWU493" s="106"/>
      <c r="JWV493" s="106"/>
      <c r="JWW493" s="106"/>
      <c r="JWX493" s="106"/>
      <c r="JWY493" s="106"/>
      <c r="JWZ493" s="106"/>
      <c r="JXA493" s="106"/>
      <c r="JXB493" s="106"/>
      <c r="JXC493" s="106"/>
      <c r="JXD493" s="106"/>
      <c r="JXE493" s="106"/>
      <c r="JXF493" s="106"/>
      <c r="JXG493" s="106"/>
      <c r="JXH493" s="106"/>
      <c r="JXI493" s="106"/>
      <c r="JXJ493" s="106"/>
      <c r="JXK493" s="106"/>
      <c r="JXL493" s="106"/>
      <c r="JXM493" s="106"/>
      <c r="JXN493" s="106"/>
      <c r="JXO493" s="106"/>
      <c r="JXP493" s="106"/>
      <c r="JXQ493" s="106"/>
      <c r="JXR493" s="106"/>
      <c r="JXS493" s="106"/>
      <c r="JXT493" s="106"/>
      <c r="JXU493" s="106"/>
      <c r="JXV493" s="106"/>
      <c r="JXW493" s="106"/>
      <c r="JXX493" s="106"/>
      <c r="JXY493" s="106"/>
      <c r="JXZ493" s="106"/>
      <c r="JYA493" s="106"/>
      <c r="JYB493" s="106"/>
      <c r="JYC493" s="106"/>
      <c r="JYD493" s="106"/>
      <c r="JYE493" s="106"/>
      <c r="JYF493" s="106"/>
      <c r="JYG493" s="106"/>
      <c r="JYH493" s="106"/>
      <c r="JYI493" s="106"/>
      <c r="JYJ493" s="106"/>
      <c r="JYK493" s="106"/>
      <c r="JYL493" s="106"/>
      <c r="JYM493" s="106"/>
      <c r="JYN493" s="106"/>
      <c r="JYO493" s="106"/>
      <c r="JYP493" s="106"/>
      <c r="JYQ493" s="106"/>
      <c r="JYR493" s="106"/>
      <c r="JYS493" s="106"/>
      <c r="JYT493" s="106"/>
      <c r="JYU493" s="106"/>
      <c r="JYV493" s="106"/>
      <c r="JYW493" s="106"/>
      <c r="JYX493" s="106"/>
      <c r="JYY493" s="106"/>
      <c r="JYZ493" s="106"/>
      <c r="JZA493" s="106"/>
      <c r="JZB493" s="106"/>
      <c r="JZC493" s="106"/>
      <c r="JZD493" s="106"/>
      <c r="JZE493" s="106"/>
      <c r="JZF493" s="106"/>
      <c r="JZG493" s="106"/>
      <c r="JZH493" s="106"/>
      <c r="JZI493" s="106"/>
      <c r="JZJ493" s="106"/>
      <c r="JZK493" s="106"/>
      <c r="JZL493" s="106"/>
      <c r="JZM493" s="106"/>
      <c r="JZN493" s="106"/>
      <c r="JZO493" s="106"/>
      <c r="JZP493" s="106"/>
      <c r="JZQ493" s="106"/>
      <c r="JZR493" s="106"/>
      <c r="JZS493" s="106"/>
      <c r="JZT493" s="106"/>
      <c r="JZU493" s="106"/>
      <c r="JZV493" s="106"/>
      <c r="JZW493" s="106"/>
      <c r="JZX493" s="106"/>
      <c r="JZY493" s="106"/>
      <c r="JZZ493" s="106"/>
      <c r="KAA493" s="106"/>
      <c r="KAB493" s="106"/>
      <c r="KAC493" s="106"/>
      <c r="KAD493" s="106"/>
      <c r="KAE493" s="106"/>
      <c r="KAF493" s="106"/>
      <c r="KAG493" s="106"/>
      <c r="KAH493" s="106"/>
      <c r="KAI493" s="106"/>
      <c r="KAJ493" s="106"/>
      <c r="KAK493" s="106"/>
      <c r="KAL493" s="106"/>
      <c r="KAM493" s="106"/>
      <c r="KAN493" s="106"/>
      <c r="KAO493" s="106"/>
      <c r="KAP493" s="106"/>
      <c r="KAQ493" s="106"/>
      <c r="KAR493" s="106"/>
      <c r="KAS493" s="106"/>
      <c r="KAT493" s="106"/>
      <c r="KAU493" s="106"/>
      <c r="KAV493" s="106"/>
      <c r="KAW493" s="106"/>
      <c r="KAX493" s="106"/>
      <c r="KAY493" s="106"/>
      <c r="KAZ493" s="106"/>
      <c r="KBA493" s="106"/>
      <c r="KBB493" s="106"/>
      <c r="KBC493" s="106"/>
      <c r="KBD493" s="106"/>
      <c r="KBE493" s="106"/>
      <c r="KBF493" s="106"/>
      <c r="KBG493" s="106"/>
      <c r="KBH493" s="106"/>
      <c r="KBI493" s="106"/>
      <c r="KBJ493" s="106"/>
      <c r="KBK493" s="106"/>
      <c r="KBL493" s="106"/>
      <c r="KBM493" s="106"/>
      <c r="KBN493" s="106"/>
      <c r="KBO493" s="106"/>
      <c r="KBP493" s="106"/>
      <c r="KBQ493" s="106"/>
      <c r="KBR493" s="106"/>
      <c r="KBS493" s="106"/>
      <c r="KBT493" s="106"/>
      <c r="KBU493" s="106"/>
      <c r="KBV493" s="106"/>
      <c r="KBW493" s="106"/>
      <c r="KBX493" s="106"/>
      <c r="KBY493" s="106"/>
      <c r="KBZ493" s="106"/>
      <c r="KCA493" s="106"/>
      <c r="KCB493" s="106"/>
      <c r="KCC493" s="106"/>
      <c r="KCD493" s="106"/>
      <c r="KCE493" s="106"/>
      <c r="KCF493" s="106"/>
      <c r="KCG493" s="106"/>
      <c r="KCH493" s="106"/>
      <c r="KCI493" s="106"/>
      <c r="KCJ493" s="106"/>
      <c r="KCK493" s="106"/>
      <c r="KCL493" s="106"/>
      <c r="KCM493" s="106"/>
      <c r="KCN493" s="106"/>
      <c r="KCO493" s="106"/>
      <c r="KCP493" s="106"/>
      <c r="KCQ493" s="106"/>
      <c r="KCR493" s="106"/>
      <c r="KCS493" s="106"/>
      <c r="KCT493" s="106"/>
      <c r="KCU493" s="106"/>
      <c r="KCV493" s="106"/>
      <c r="KCW493" s="106"/>
      <c r="KCX493" s="106"/>
      <c r="KCY493" s="106"/>
      <c r="KCZ493" s="106"/>
      <c r="KDA493" s="106"/>
      <c r="KDB493" s="106"/>
      <c r="KDC493" s="106"/>
      <c r="KDD493" s="106"/>
      <c r="KDE493" s="106"/>
      <c r="KDF493" s="106"/>
      <c r="KDG493" s="106"/>
      <c r="KDH493" s="106"/>
      <c r="KDI493" s="106"/>
      <c r="KDJ493" s="106"/>
      <c r="KDK493" s="106"/>
      <c r="KDL493" s="106"/>
      <c r="KDM493" s="106"/>
      <c r="KDN493" s="106"/>
      <c r="KDO493" s="106"/>
      <c r="KDP493" s="106"/>
      <c r="KDQ493" s="106"/>
      <c r="KDR493" s="106"/>
      <c r="KDS493" s="106"/>
      <c r="KDT493" s="106"/>
      <c r="KDU493" s="106"/>
      <c r="KDV493" s="106"/>
      <c r="KDW493" s="106"/>
      <c r="KDX493" s="106"/>
      <c r="KDY493" s="106"/>
      <c r="KDZ493" s="106"/>
      <c r="KEA493" s="106"/>
      <c r="KEB493" s="106"/>
      <c r="KEC493" s="106"/>
      <c r="KED493" s="106"/>
      <c r="KEE493" s="106"/>
      <c r="KEF493" s="106"/>
      <c r="KEG493" s="106"/>
      <c r="KEH493" s="106"/>
      <c r="KEI493" s="106"/>
      <c r="KEJ493" s="106"/>
      <c r="KEK493" s="106"/>
      <c r="KEL493" s="106"/>
      <c r="KEM493" s="106"/>
      <c r="KEN493" s="106"/>
      <c r="KEO493" s="106"/>
      <c r="KEP493" s="106"/>
      <c r="KEQ493" s="106"/>
      <c r="KER493" s="106"/>
      <c r="KES493" s="106"/>
      <c r="KET493" s="106"/>
      <c r="KEU493" s="106"/>
      <c r="KEV493" s="106"/>
      <c r="KEW493" s="106"/>
      <c r="KEX493" s="106"/>
      <c r="KEY493" s="106"/>
      <c r="KEZ493" s="106"/>
      <c r="KFA493" s="106"/>
      <c r="KFB493" s="106"/>
      <c r="KFC493" s="106"/>
      <c r="KFD493" s="106"/>
      <c r="KFE493" s="106"/>
      <c r="KFF493" s="106"/>
      <c r="KFG493" s="106"/>
      <c r="KFH493" s="106"/>
      <c r="KFI493" s="106"/>
      <c r="KFJ493" s="106"/>
      <c r="KFK493" s="106"/>
      <c r="KFL493" s="106"/>
      <c r="KFM493" s="106"/>
      <c r="KFN493" s="106"/>
      <c r="KFO493" s="106"/>
      <c r="KFP493" s="106"/>
      <c r="KFQ493" s="106"/>
      <c r="KFR493" s="106"/>
      <c r="KFS493" s="106"/>
      <c r="KFT493" s="106"/>
      <c r="KFU493" s="106"/>
      <c r="KFV493" s="106"/>
      <c r="KFW493" s="106"/>
      <c r="KFX493" s="106"/>
      <c r="KFY493" s="106"/>
      <c r="KFZ493" s="106"/>
      <c r="KGA493" s="106"/>
      <c r="KGB493" s="106"/>
      <c r="KGC493" s="106"/>
      <c r="KGD493" s="106"/>
      <c r="KGE493" s="106"/>
      <c r="KGF493" s="106"/>
      <c r="KGG493" s="106"/>
      <c r="KGH493" s="106"/>
      <c r="KGI493" s="106"/>
      <c r="KGJ493" s="106"/>
      <c r="KGK493" s="106"/>
      <c r="KGL493" s="106"/>
      <c r="KGM493" s="106"/>
      <c r="KGN493" s="106"/>
      <c r="KGO493" s="106"/>
      <c r="KGP493" s="106"/>
      <c r="KGQ493" s="106"/>
      <c r="KGR493" s="106"/>
      <c r="KGS493" s="106"/>
      <c r="KGT493" s="106"/>
      <c r="KGU493" s="106"/>
      <c r="KGV493" s="106"/>
      <c r="KGW493" s="106"/>
      <c r="KGX493" s="106"/>
      <c r="KGY493" s="106"/>
      <c r="KGZ493" s="106"/>
      <c r="KHA493" s="106"/>
      <c r="KHB493" s="106"/>
      <c r="KHC493" s="106"/>
      <c r="KHD493" s="106"/>
      <c r="KHE493" s="106"/>
      <c r="KHF493" s="106"/>
      <c r="KHG493" s="106"/>
      <c r="KHH493" s="106"/>
      <c r="KHI493" s="106"/>
      <c r="KHJ493" s="106"/>
      <c r="KHK493" s="106"/>
      <c r="KHL493" s="106"/>
      <c r="KHM493" s="106"/>
      <c r="KHN493" s="106"/>
      <c r="KHO493" s="106"/>
      <c r="KHP493" s="106"/>
      <c r="KHQ493" s="106"/>
      <c r="KHR493" s="106"/>
      <c r="KHS493" s="106"/>
      <c r="KHT493" s="106"/>
      <c r="KHU493" s="106"/>
      <c r="KHV493" s="106"/>
      <c r="KHW493" s="106"/>
      <c r="KHX493" s="106"/>
      <c r="KHY493" s="106"/>
      <c r="KHZ493" s="106"/>
      <c r="KIA493" s="106"/>
      <c r="KIB493" s="106"/>
      <c r="KIC493" s="106"/>
      <c r="KID493" s="106"/>
      <c r="KIE493" s="106"/>
      <c r="KIF493" s="106"/>
      <c r="KIG493" s="106"/>
      <c r="KIH493" s="106"/>
      <c r="KII493" s="106"/>
      <c r="KIJ493" s="106"/>
      <c r="KIK493" s="106"/>
      <c r="KIL493" s="106"/>
      <c r="KIM493" s="106"/>
      <c r="KIN493" s="106"/>
      <c r="KIO493" s="106"/>
      <c r="KIP493" s="106"/>
      <c r="KIQ493" s="106"/>
      <c r="KIR493" s="106"/>
      <c r="KIS493" s="106"/>
      <c r="KIT493" s="106"/>
      <c r="KIU493" s="106"/>
      <c r="KIV493" s="106"/>
      <c r="KIW493" s="106"/>
      <c r="KIX493" s="106"/>
      <c r="KIY493" s="106"/>
      <c r="KIZ493" s="106"/>
      <c r="KJA493" s="106"/>
      <c r="KJB493" s="106"/>
      <c r="KJC493" s="106"/>
      <c r="KJD493" s="106"/>
      <c r="KJE493" s="106"/>
      <c r="KJF493" s="106"/>
      <c r="KJG493" s="106"/>
      <c r="KJH493" s="106"/>
      <c r="KJI493" s="106"/>
      <c r="KJJ493" s="106"/>
      <c r="KJK493" s="106"/>
      <c r="KJL493" s="106"/>
      <c r="KJM493" s="106"/>
      <c r="KJN493" s="106"/>
      <c r="KJO493" s="106"/>
      <c r="KJP493" s="106"/>
      <c r="KJQ493" s="106"/>
      <c r="KJR493" s="106"/>
      <c r="KJS493" s="106"/>
      <c r="KJT493" s="106"/>
      <c r="KJU493" s="106"/>
      <c r="KJV493" s="106"/>
      <c r="KJW493" s="106"/>
      <c r="KJX493" s="106"/>
      <c r="KJY493" s="106"/>
      <c r="KJZ493" s="106"/>
      <c r="KKA493" s="106"/>
      <c r="KKB493" s="106"/>
      <c r="KKC493" s="106"/>
      <c r="KKD493" s="106"/>
      <c r="KKE493" s="106"/>
      <c r="KKF493" s="106"/>
      <c r="KKG493" s="106"/>
      <c r="KKH493" s="106"/>
      <c r="KKI493" s="106"/>
      <c r="KKJ493" s="106"/>
      <c r="KKK493" s="106"/>
      <c r="KKL493" s="106"/>
      <c r="KKM493" s="106"/>
      <c r="KKN493" s="106"/>
      <c r="KKO493" s="106"/>
      <c r="KKP493" s="106"/>
      <c r="KKQ493" s="106"/>
      <c r="KKR493" s="106"/>
      <c r="KKS493" s="106"/>
      <c r="KKT493" s="106"/>
      <c r="KKU493" s="106"/>
      <c r="KKV493" s="106"/>
      <c r="KKW493" s="106"/>
      <c r="KKX493" s="106"/>
      <c r="KKY493" s="106"/>
      <c r="KKZ493" s="106"/>
      <c r="KLA493" s="106"/>
      <c r="KLB493" s="106"/>
      <c r="KLC493" s="106"/>
      <c r="KLD493" s="106"/>
      <c r="KLE493" s="106"/>
      <c r="KLF493" s="106"/>
      <c r="KLG493" s="106"/>
      <c r="KLH493" s="106"/>
      <c r="KLI493" s="106"/>
      <c r="KLJ493" s="106"/>
      <c r="KLK493" s="106"/>
      <c r="KLL493" s="106"/>
      <c r="KLM493" s="106"/>
      <c r="KLN493" s="106"/>
      <c r="KLO493" s="106"/>
      <c r="KLP493" s="106"/>
      <c r="KLQ493" s="106"/>
      <c r="KLR493" s="106"/>
      <c r="KLS493" s="106"/>
      <c r="KLT493" s="106"/>
      <c r="KLU493" s="106"/>
      <c r="KLV493" s="106"/>
      <c r="KLW493" s="106"/>
      <c r="KLX493" s="106"/>
      <c r="KLY493" s="106"/>
      <c r="KLZ493" s="106"/>
      <c r="KMA493" s="106"/>
      <c r="KMB493" s="106"/>
      <c r="KMC493" s="106"/>
      <c r="KMD493" s="106"/>
      <c r="KME493" s="106"/>
      <c r="KMF493" s="106"/>
      <c r="KMG493" s="106"/>
      <c r="KMH493" s="106"/>
      <c r="KMI493" s="106"/>
      <c r="KMJ493" s="106"/>
      <c r="KMK493" s="106"/>
      <c r="KML493" s="106"/>
      <c r="KMM493" s="106"/>
      <c r="KMN493" s="106"/>
      <c r="KMO493" s="106"/>
      <c r="KMP493" s="106"/>
      <c r="KMQ493" s="106"/>
      <c r="KMR493" s="106"/>
      <c r="KMS493" s="106"/>
      <c r="KMT493" s="106"/>
      <c r="KMU493" s="106"/>
      <c r="KMV493" s="106"/>
      <c r="KMW493" s="106"/>
      <c r="KMX493" s="106"/>
      <c r="KMY493" s="106"/>
      <c r="KMZ493" s="106"/>
      <c r="KNA493" s="106"/>
      <c r="KNB493" s="106"/>
      <c r="KNC493" s="106"/>
      <c r="KND493" s="106"/>
      <c r="KNE493" s="106"/>
      <c r="KNF493" s="106"/>
      <c r="KNG493" s="106"/>
      <c r="KNH493" s="106"/>
      <c r="KNI493" s="106"/>
      <c r="KNJ493" s="106"/>
      <c r="KNK493" s="106"/>
      <c r="KNL493" s="106"/>
      <c r="KNM493" s="106"/>
      <c r="KNN493" s="106"/>
      <c r="KNO493" s="106"/>
      <c r="KNP493" s="106"/>
      <c r="KNQ493" s="106"/>
      <c r="KNR493" s="106"/>
      <c r="KNS493" s="106"/>
      <c r="KNT493" s="106"/>
      <c r="KNU493" s="106"/>
      <c r="KNV493" s="106"/>
      <c r="KNW493" s="106"/>
      <c r="KNX493" s="106"/>
      <c r="KNY493" s="106"/>
      <c r="KNZ493" s="106"/>
      <c r="KOA493" s="106"/>
      <c r="KOB493" s="106"/>
      <c r="KOC493" s="106"/>
      <c r="KOD493" s="106"/>
      <c r="KOE493" s="106"/>
      <c r="KOF493" s="106"/>
      <c r="KOG493" s="106"/>
      <c r="KOH493" s="106"/>
      <c r="KOI493" s="106"/>
      <c r="KOJ493" s="106"/>
      <c r="KOK493" s="106"/>
      <c r="KOL493" s="106"/>
      <c r="KOM493" s="106"/>
      <c r="KON493" s="106"/>
      <c r="KOO493" s="106"/>
      <c r="KOP493" s="106"/>
      <c r="KOQ493" s="106"/>
      <c r="KOR493" s="106"/>
      <c r="KOS493" s="106"/>
      <c r="KOT493" s="106"/>
      <c r="KOU493" s="106"/>
      <c r="KOV493" s="106"/>
      <c r="KOW493" s="106"/>
      <c r="KOX493" s="106"/>
      <c r="KOY493" s="106"/>
      <c r="KOZ493" s="106"/>
      <c r="KPA493" s="106"/>
      <c r="KPB493" s="106"/>
      <c r="KPC493" s="106"/>
      <c r="KPD493" s="106"/>
      <c r="KPE493" s="106"/>
      <c r="KPF493" s="106"/>
      <c r="KPG493" s="106"/>
      <c r="KPH493" s="106"/>
      <c r="KPI493" s="106"/>
      <c r="KPJ493" s="106"/>
      <c r="KPK493" s="106"/>
      <c r="KPL493" s="106"/>
      <c r="KPM493" s="106"/>
      <c r="KPN493" s="106"/>
      <c r="KPO493" s="106"/>
      <c r="KPP493" s="106"/>
      <c r="KPQ493" s="106"/>
      <c r="KPR493" s="106"/>
      <c r="KPS493" s="106"/>
      <c r="KPT493" s="106"/>
      <c r="KPU493" s="106"/>
      <c r="KPV493" s="106"/>
      <c r="KPW493" s="106"/>
      <c r="KPX493" s="106"/>
      <c r="KPY493" s="106"/>
      <c r="KPZ493" s="106"/>
      <c r="KQA493" s="106"/>
      <c r="KQB493" s="106"/>
      <c r="KQC493" s="106"/>
      <c r="KQD493" s="106"/>
      <c r="KQE493" s="106"/>
      <c r="KQF493" s="106"/>
      <c r="KQG493" s="106"/>
      <c r="KQH493" s="106"/>
      <c r="KQI493" s="106"/>
      <c r="KQJ493" s="106"/>
      <c r="KQK493" s="106"/>
      <c r="KQL493" s="106"/>
      <c r="KQM493" s="106"/>
      <c r="KQN493" s="106"/>
      <c r="KQO493" s="106"/>
      <c r="KQP493" s="106"/>
      <c r="KQQ493" s="106"/>
      <c r="KQR493" s="106"/>
      <c r="KQS493" s="106"/>
      <c r="KQT493" s="106"/>
      <c r="KQU493" s="106"/>
      <c r="KQV493" s="106"/>
      <c r="KQW493" s="106"/>
      <c r="KQX493" s="106"/>
      <c r="KQY493" s="106"/>
      <c r="KQZ493" s="106"/>
      <c r="KRA493" s="106"/>
      <c r="KRB493" s="106"/>
      <c r="KRC493" s="106"/>
      <c r="KRD493" s="106"/>
      <c r="KRE493" s="106"/>
      <c r="KRF493" s="106"/>
      <c r="KRG493" s="106"/>
      <c r="KRH493" s="106"/>
      <c r="KRI493" s="106"/>
      <c r="KRJ493" s="106"/>
      <c r="KRK493" s="106"/>
      <c r="KRL493" s="106"/>
      <c r="KRM493" s="106"/>
      <c r="KRN493" s="106"/>
      <c r="KRO493" s="106"/>
      <c r="KRP493" s="106"/>
      <c r="KRQ493" s="106"/>
      <c r="KRR493" s="106"/>
      <c r="KRS493" s="106"/>
      <c r="KRT493" s="106"/>
      <c r="KRU493" s="106"/>
      <c r="KRV493" s="106"/>
      <c r="KRW493" s="106"/>
      <c r="KRX493" s="106"/>
      <c r="KRY493" s="106"/>
      <c r="KRZ493" s="106"/>
      <c r="KSA493" s="106"/>
      <c r="KSB493" s="106"/>
      <c r="KSC493" s="106"/>
      <c r="KSD493" s="106"/>
      <c r="KSE493" s="106"/>
      <c r="KSF493" s="106"/>
      <c r="KSG493" s="106"/>
      <c r="KSH493" s="106"/>
      <c r="KSI493" s="106"/>
      <c r="KSJ493" s="106"/>
      <c r="KSK493" s="106"/>
      <c r="KSL493" s="106"/>
      <c r="KSM493" s="106"/>
      <c r="KSN493" s="106"/>
      <c r="KSO493" s="106"/>
      <c r="KSP493" s="106"/>
      <c r="KSQ493" s="106"/>
      <c r="KSR493" s="106"/>
      <c r="KSS493" s="106"/>
      <c r="KST493" s="106"/>
      <c r="KSU493" s="106"/>
      <c r="KSV493" s="106"/>
      <c r="KSW493" s="106"/>
      <c r="KSX493" s="106"/>
      <c r="KSY493" s="106"/>
      <c r="KSZ493" s="106"/>
      <c r="KTA493" s="106"/>
      <c r="KTB493" s="106"/>
      <c r="KTC493" s="106"/>
      <c r="KTD493" s="106"/>
      <c r="KTE493" s="106"/>
      <c r="KTF493" s="106"/>
      <c r="KTG493" s="106"/>
      <c r="KTH493" s="106"/>
      <c r="KTI493" s="106"/>
      <c r="KTJ493" s="106"/>
      <c r="KTK493" s="106"/>
      <c r="KTL493" s="106"/>
      <c r="KTM493" s="106"/>
      <c r="KTN493" s="106"/>
      <c r="KTO493" s="106"/>
      <c r="KTP493" s="106"/>
      <c r="KTQ493" s="106"/>
      <c r="KTR493" s="106"/>
      <c r="KTS493" s="106"/>
      <c r="KTT493" s="106"/>
      <c r="KTU493" s="106"/>
      <c r="KTV493" s="106"/>
      <c r="KTW493" s="106"/>
      <c r="KTX493" s="106"/>
      <c r="KTY493" s="106"/>
      <c r="KTZ493" s="106"/>
      <c r="KUA493" s="106"/>
      <c r="KUB493" s="106"/>
      <c r="KUC493" s="106"/>
      <c r="KUD493" s="106"/>
      <c r="KUE493" s="106"/>
      <c r="KUF493" s="106"/>
      <c r="KUG493" s="106"/>
      <c r="KUH493" s="106"/>
      <c r="KUI493" s="106"/>
      <c r="KUJ493" s="106"/>
      <c r="KUK493" s="106"/>
      <c r="KUL493" s="106"/>
      <c r="KUM493" s="106"/>
      <c r="KUN493" s="106"/>
      <c r="KUO493" s="106"/>
      <c r="KUP493" s="106"/>
      <c r="KUQ493" s="106"/>
      <c r="KUR493" s="106"/>
      <c r="KUS493" s="106"/>
      <c r="KUT493" s="106"/>
      <c r="KUU493" s="106"/>
      <c r="KUV493" s="106"/>
      <c r="KUW493" s="106"/>
      <c r="KUX493" s="106"/>
      <c r="KUY493" s="106"/>
      <c r="KUZ493" s="106"/>
      <c r="KVA493" s="106"/>
      <c r="KVB493" s="106"/>
      <c r="KVC493" s="106"/>
      <c r="KVD493" s="106"/>
      <c r="KVE493" s="106"/>
      <c r="KVF493" s="106"/>
      <c r="KVG493" s="106"/>
      <c r="KVH493" s="106"/>
      <c r="KVI493" s="106"/>
      <c r="KVJ493" s="106"/>
      <c r="KVK493" s="106"/>
      <c r="KVL493" s="106"/>
      <c r="KVM493" s="106"/>
      <c r="KVN493" s="106"/>
      <c r="KVO493" s="106"/>
      <c r="KVP493" s="106"/>
      <c r="KVQ493" s="106"/>
      <c r="KVR493" s="106"/>
      <c r="KVS493" s="106"/>
      <c r="KVT493" s="106"/>
      <c r="KVU493" s="106"/>
      <c r="KVV493" s="106"/>
      <c r="KVW493" s="106"/>
      <c r="KVX493" s="106"/>
      <c r="KVY493" s="106"/>
      <c r="KVZ493" s="106"/>
      <c r="KWA493" s="106"/>
      <c r="KWB493" s="106"/>
      <c r="KWC493" s="106"/>
      <c r="KWD493" s="106"/>
      <c r="KWE493" s="106"/>
      <c r="KWF493" s="106"/>
      <c r="KWG493" s="106"/>
      <c r="KWH493" s="106"/>
      <c r="KWI493" s="106"/>
      <c r="KWJ493" s="106"/>
      <c r="KWK493" s="106"/>
      <c r="KWL493" s="106"/>
      <c r="KWM493" s="106"/>
      <c r="KWN493" s="106"/>
      <c r="KWO493" s="106"/>
      <c r="KWP493" s="106"/>
      <c r="KWQ493" s="106"/>
      <c r="KWR493" s="106"/>
      <c r="KWS493" s="106"/>
      <c r="KWT493" s="106"/>
      <c r="KWU493" s="106"/>
      <c r="KWV493" s="106"/>
      <c r="KWW493" s="106"/>
      <c r="KWX493" s="106"/>
      <c r="KWY493" s="106"/>
      <c r="KWZ493" s="106"/>
      <c r="KXA493" s="106"/>
      <c r="KXB493" s="106"/>
      <c r="KXC493" s="106"/>
      <c r="KXD493" s="106"/>
      <c r="KXE493" s="106"/>
      <c r="KXF493" s="106"/>
      <c r="KXG493" s="106"/>
      <c r="KXH493" s="106"/>
      <c r="KXI493" s="106"/>
      <c r="KXJ493" s="106"/>
      <c r="KXK493" s="106"/>
      <c r="KXL493" s="106"/>
      <c r="KXM493" s="106"/>
      <c r="KXN493" s="106"/>
      <c r="KXO493" s="106"/>
      <c r="KXP493" s="106"/>
      <c r="KXQ493" s="106"/>
      <c r="KXR493" s="106"/>
      <c r="KXS493" s="106"/>
      <c r="KXT493" s="106"/>
      <c r="KXU493" s="106"/>
      <c r="KXV493" s="106"/>
      <c r="KXW493" s="106"/>
      <c r="KXX493" s="106"/>
      <c r="KXY493" s="106"/>
      <c r="KXZ493" s="106"/>
      <c r="KYA493" s="106"/>
      <c r="KYB493" s="106"/>
      <c r="KYC493" s="106"/>
      <c r="KYD493" s="106"/>
      <c r="KYE493" s="106"/>
      <c r="KYF493" s="106"/>
      <c r="KYG493" s="106"/>
      <c r="KYH493" s="106"/>
      <c r="KYI493" s="106"/>
      <c r="KYJ493" s="106"/>
      <c r="KYK493" s="106"/>
      <c r="KYL493" s="106"/>
      <c r="KYM493" s="106"/>
      <c r="KYN493" s="106"/>
      <c r="KYO493" s="106"/>
      <c r="KYP493" s="106"/>
      <c r="KYQ493" s="106"/>
      <c r="KYR493" s="106"/>
      <c r="KYS493" s="106"/>
      <c r="KYT493" s="106"/>
      <c r="KYU493" s="106"/>
      <c r="KYV493" s="106"/>
      <c r="KYW493" s="106"/>
      <c r="KYX493" s="106"/>
      <c r="KYY493" s="106"/>
      <c r="KYZ493" s="106"/>
      <c r="KZA493" s="106"/>
      <c r="KZB493" s="106"/>
      <c r="KZC493" s="106"/>
      <c r="KZD493" s="106"/>
      <c r="KZE493" s="106"/>
      <c r="KZF493" s="106"/>
      <c r="KZG493" s="106"/>
      <c r="KZH493" s="106"/>
      <c r="KZI493" s="106"/>
      <c r="KZJ493" s="106"/>
      <c r="KZK493" s="106"/>
      <c r="KZL493" s="106"/>
      <c r="KZM493" s="106"/>
      <c r="KZN493" s="106"/>
      <c r="KZO493" s="106"/>
      <c r="KZP493" s="106"/>
      <c r="KZQ493" s="106"/>
      <c r="KZR493" s="106"/>
      <c r="KZS493" s="106"/>
      <c r="KZT493" s="106"/>
      <c r="KZU493" s="106"/>
      <c r="KZV493" s="106"/>
      <c r="KZW493" s="106"/>
      <c r="KZX493" s="106"/>
      <c r="KZY493" s="106"/>
      <c r="KZZ493" s="106"/>
      <c r="LAA493" s="106"/>
      <c r="LAB493" s="106"/>
      <c r="LAC493" s="106"/>
      <c r="LAD493" s="106"/>
      <c r="LAE493" s="106"/>
      <c r="LAF493" s="106"/>
      <c r="LAG493" s="106"/>
      <c r="LAH493" s="106"/>
      <c r="LAI493" s="106"/>
      <c r="LAJ493" s="106"/>
      <c r="LAK493" s="106"/>
      <c r="LAL493" s="106"/>
      <c r="LAM493" s="106"/>
      <c r="LAN493" s="106"/>
      <c r="LAO493" s="106"/>
      <c r="LAP493" s="106"/>
      <c r="LAQ493" s="106"/>
      <c r="LAR493" s="106"/>
      <c r="LAS493" s="106"/>
      <c r="LAT493" s="106"/>
      <c r="LAU493" s="106"/>
      <c r="LAV493" s="106"/>
      <c r="LAW493" s="106"/>
      <c r="LAX493" s="106"/>
      <c r="LAY493" s="106"/>
      <c r="LAZ493" s="106"/>
      <c r="LBA493" s="106"/>
      <c r="LBB493" s="106"/>
      <c r="LBC493" s="106"/>
      <c r="LBD493" s="106"/>
      <c r="LBE493" s="106"/>
      <c r="LBF493" s="106"/>
      <c r="LBG493" s="106"/>
      <c r="LBH493" s="106"/>
      <c r="LBI493" s="106"/>
      <c r="LBJ493" s="106"/>
      <c r="LBK493" s="106"/>
      <c r="LBL493" s="106"/>
      <c r="LBM493" s="106"/>
      <c r="LBN493" s="106"/>
      <c r="LBO493" s="106"/>
      <c r="LBP493" s="106"/>
      <c r="LBQ493" s="106"/>
      <c r="LBR493" s="106"/>
      <c r="LBS493" s="106"/>
      <c r="LBT493" s="106"/>
      <c r="LBU493" s="106"/>
      <c r="LBV493" s="106"/>
      <c r="LBW493" s="106"/>
      <c r="LBX493" s="106"/>
      <c r="LBY493" s="106"/>
      <c r="LBZ493" s="106"/>
      <c r="LCA493" s="106"/>
      <c r="LCB493" s="106"/>
      <c r="LCC493" s="106"/>
      <c r="LCD493" s="106"/>
      <c r="LCE493" s="106"/>
      <c r="LCF493" s="106"/>
      <c r="LCG493" s="106"/>
      <c r="LCH493" s="106"/>
      <c r="LCI493" s="106"/>
      <c r="LCJ493" s="106"/>
      <c r="LCK493" s="106"/>
      <c r="LCL493" s="106"/>
      <c r="LCM493" s="106"/>
      <c r="LCN493" s="106"/>
      <c r="LCO493" s="106"/>
      <c r="LCP493" s="106"/>
      <c r="LCQ493" s="106"/>
      <c r="LCR493" s="106"/>
      <c r="LCS493" s="106"/>
      <c r="LCT493" s="106"/>
      <c r="LCU493" s="106"/>
      <c r="LCV493" s="106"/>
      <c r="LCW493" s="106"/>
      <c r="LCX493" s="106"/>
      <c r="LCY493" s="106"/>
      <c r="LCZ493" s="106"/>
      <c r="LDA493" s="106"/>
      <c r="LDB493" s="106"/>
      <c r="LDC493" s="106"/>
      <c r="LDD493" s="106"/>
      <c r="LDE493" s="106"/>
      <c r="LDF493" s="106"/>
      <c r="LDG493" s="106"/>
      <c r="LDH493" s="106"/>
      <c r="LDI493" s="106"/>
      <c r="LDJ493" s="106"/>
      <c r="LDK493" s="106"/>
      <c r="LDL493" s="106"/>
      <c r="LDM493" s="106"/>
      <c r="LDN493" s="106"/>
      <c r="LDO493" s="106"/>
      <c r="LDP493" s="106"/>
      <c r="LDQ493" s="106"/>
      <c r="LDR493" s="106"/>
      <c r="LDS493" s="106"/>
      <c r="LDT493" s="106"/>
      <c r="LDU493" s="106"/>
      <c r="LDV493" s="106"/>
      <c r="LDW493" s="106"/>
      <c r="LDX493" s="106"/>
      <c r="LDY493" s="106"/>
      <c r="LDZ493" s="106"/>
      <c r="LEA493" s="106"/>
      <c r="LEB493" s="106"/>
      <c r="LEC493" s="106"/>
      <c r="LED493" s="106"/>
      <c r="LEE493" s="106"/>
      <c r="LEF493" s="106"/>
      <c r="LEG493" s="106"/>
      <c r="LEH493" s="106"/>
      <c r="LEI493" s="106"/>
      <c r="LEJ493" s="106"/>
      <c r="LEK493" s="106"/>
      <c r="LEL493" s="106"/>
      <c r="LEM493" s="106"/>
      <c r="LEN493" s="106"/>
      <c r="LEO493" s="106"/>
      <c r="LEP493" s="106"/>
      <c r="LEQ493" s="106"/>
      <c r="LER493" s="106"/>
      <c r="LES493" s="106"/>
      <c r="LET493" s="106"/>
      <c r="LEU493" s="106"/>
      <c r="LEV493" s="106"/>
      <c r="LEW493" s="106"/>
      <c r="LEX493" s="106"/>
      <c r="LEY493" s="106"/>
      <c r="LEZ493" s="106"/>
      <c r="LFA493" s="106"/>
      <c r="LFB493" s="106"/>
      <c r="LFC493" s="106"/>
      <c r="LFD493" s="106"/>
      <c r="LFE493" s="106"/>
      <c r="LFF493" s="106"/>
      <c r="LFG493" s="106"/>
      <c r="LFH493" s="106"/>
      <c r="LFI493" s="106"/>
      <c r="LFJ493" s="106"/>
      <c r="LFK493" s="106"/>
      <c r="LFL493" s="106"/>
      <c r="LFM493" s="106"/>
      <c r="LFN493" s="106"/>
      <c r="LFO493" s="106"/>
      <c r="LFP493" s="106"/>
      <c r="LFQ493" s="106"/>
      <c r="LFR493" s="106"/>
      <c r="LFS493" s="106"/>
      <c r="LFT493" s="106"/>
      <c r="LFU493" s="106"/>
      <c r="LFV493" s="106"/>
      <c r="LFW493" s="106"/>
      <c r="LFX493" s="106"/>
      <c r="LFY493" s="106"/>
      <c r="LFZ493" s="106"/>
      <c r="LGA493" s="106"/>
      <c r="LGB493" s="106"/>
      <c r="LGC493" s="106"/>
      <c r="LGD493" s="106"/>
      <c r="LGE493" s="106"/>
      <c r="LGF493" s="106"/>
      <c r="LGG493" s="106"/>
      <c r="LGH493" s="106"/>
      <c r="LGI493" s="106"/>
      <c r="LGJ493" s="106"/>
      <c r="LGK493" s="106"/>
      <c r="LGL493" s="106"/>
      <c r="LGM493" s="106"/>
      <c r="LGN493" s="106"/>
      <c r="LGO493" s="106"/>
      <c r="LGP493" s="106"/>
      <c r="LGQ493" s="106"/>
      <c r="LGR493" s="106"/>
      <c r="LGS493" s="106"/>
      <c r="LGT493" s="106"/>
      <c r="LGU493" s="106"/>
      <c r="LGV493" s="106"/>
      <c r="LGW493" s="106"/>
      <c r="LGX493" s="106"/>
      <c r="LGY493" s="106"/>
      <c r="LGZ493" s="106"/>
      <c r="LHA493" s="106"/>
      <c r="LHB493" s="106"/>
      <c r="LHC493" s="106"/>
      <c r="LHD493" s="106"/>
      <c r="LHE493" s="106"/>
      <c r="LHF493" s="106"/>
      <c r="LHG493" s="106"/>
      <c r="LHH493" s="106"/>
      <c r="LHI493" s="106"/>
      <c r="LHJ493" s="106"/>
      <c r="LHK493" s="106"/>
      <c r="LHL493" s="106"/>
      <c r="LHM493" s="106"/>
      <c r="LHN493" s="106"/>
      <c r="LHO493" s="106"/>
      <c r="LHP493" s="106"/>
      <c r="LHQ493" s="106"/>
      <c r="LHR493" s="106"/>
      <c r="LHS493" s="106"/>
      <c r="LHT493" s="106"/>
      <c r="LHU493" s="106"/>
      <c r="LHV493" s="106"/>
      <c r="LHW493" s="106"/>
      <c r="LHX493" s="106"/>
      <c r="LHY493" s="106"/>
      <c r="LHZ493" s="106"/>
      <c r="LIA493" s="106"/>
      <c r="LIB493" s="106"/>
      <c r="LIC493" s="106"/>
      <c r="LID493" s="106"/>
      <c r="LIE493" s="106"/>
      <c r="LIF493" s="106"/>
      <c r="LIG493" s="106"/>
      <c r="LIH493" s="106"/>
      <c r="LII493" s="106"/>
      <c r="LIJ493" s="106"/>
      <c r="LIK493" s="106"/>
      <c r="LIL493" s="106"/>
      <c r="LIM493" s="106"/>
      <c r="LIN493" s="106"/>
      <c r="LIO493" s="106"/>
      <c r="LIP493" s="106"/>
      <c r="LIQ493" s="106"/>
      <c r="LIR493" s="106"/>
      <c r="LIS493" s="106"/>
      <c r="LIT493" s="106"/>
      <c r="LIU493" s="106"/>
      <c r="LIV493" s="106"/>
      <c r="LIW493" s="106"/>
      <c r="LIX493" s="106"/>
      <c r="LIY493" s="106"/>
      <c r="LIZ493" s="106"/>
      <c r="LJA493" s="106"/>
      <c r="LJB493" s="106"/>
      <c r="LJC493" s="106"/>
      <c r="LJD493" s="106"/>
      <c r="LJE493" s="106"/>
      <c r="LJF493" s="106"/>
      <c r="LJG493" s="106"/>
      <c r="LJH493" s="106"/>
      <c r="LJI493" s="106"/>
      <c r="LJJ493" s="106"/>
      <c r="LJK493" s="106"/>
      <c r="LJL493" s="106"/>
      <c r="LJM493" s="106"/>
      <c r="LJN493" s="106"/>
      <c r="LJO493" s="106"/>
      <c r="LJP493" s="106"/>
      <c r="LJQ493" s="106"/>
      <c r="LJR493" s="106"/>
      <c r="LJS493" s="106"/>
      <c r="LJT493" s="106"/>
      <c r="LJU493" s="106"/>
      <c r="LJV493" s="106"/>
      <c r="LJW493" s="106"/>
      <c r="LJX493" s="106"/>
      <c r="LJY493" s="106"/>
      <c r="LJZ493" s="106"/>
      <c r="LKA493" s="106"/>
      <c r="LKB493" s="106"/>
      <c r="LKC493" s="106"/>
      <c r="LKD493" s="106"/>
      <c r="LKE493" s="106"/>
      <c r="LKF493" s="106"/>
      <c r="LKG493" s="106"/>
      <c r="LKH493" s="106"/>
      <c r="LKI493" s="106"/>
      <c r="LKJ493" s="106"/>
      <c r="LKK493" s="106"/>
      <c r="LKL493" s="106"/>
      <c r="LKM493" s="106"/>
      <c r="LKN493" s="106"/>
      <c r="LKO493" s="106"/>
      <c r="LKP493" s="106"/>
      <c r="LKQ493" s="106"/>
      <c r="LKR493" s="106"/>
      <c r="LKS493" s="106"/>
      <c r="LKT493" s="106"/>
      <c r="LKU493" s="106"/>
      <c r="LKV493" s="106"/>
      <c r="LKW493" s="106"/>
      <c r="LKX493" s="106"/>
      <c r="LKY493" s="106"/>
      <c r="LKZ493" s="106"/>
      <c r="LLA493" s="106"/>
      <c r="LLB493" s="106"/>
      <c r="LLC493" s="106"/>
      <c r="LLD493" s="106"/>
      <c r="LLE493" s="106"/>
      <c r="LLF493" s="106"/>
      <c r="LLG493" s="106"/>
      <c r="LLH493" s="106"/>
      <c r="LLI493" s="106"/>
      <c r="LLJ493" s="106"/>
      <c r="LLK493" s="106"/>
      <c r="LLL493" s="106"/>
      <c r="LLM493" s="106"/>
      <c r="LLN493" s="106"/>
      <c r="LLO493" s="106"/>
      <c r="LLP493" s="106"/>
      <c r="LLQ493" s="106"/>
      <c r="LLR493" s="106"/>
      <c r="LLS493" s="106"/>
      <c r="LLT493" s="106"/>
      <c r="LLU493" s="106"/>
      <c r="LLV493" s="106"/>
      <c r="LLW493" s="106"/>
      <c r="LLX493" s="106"/>
      <c r="LLY493" s="106"/>
      <c r="LLZ493" s="106"/>
      <c r="LMA493" s="106"/>
      <c r="LMB493" s="106"/>
      <c r="LMC493" s="106"/>
      <c r="LMD493" s="106"/>
      <c r="LME493" s="106"/>
      <c r="LMF493" s="106"/>
      <c r="LMG493" s="106"/>
      <c r="LMH493" s="106"/>
      <c r="LMI493" s="106"/>
      <c r="LMJ493" s="106"/>
      <c r="LMK493" s="106"/>
      <c r="LML493" s="106"/>
      <c r="LMM493" s="106"/>
      <c r="LMN493" s="106"/>
      <c r="LMO493" s="106"/>
      <c r="LMP493" s="106"/>
      <c r="LMQ493" s="106"/>
      <c r="LMR493" s="106"/>
      <c r="LMS493" s="106"/>
      <c r="LMT493" s="106"/>
      <c r="LMU493" s="106"/>
      <c r="LMV493" s="106"/>
      <c r="LMW493" s="106"/>
      <c r="LMX493" s="106"/>
      <c r="LMY493" s="106"/>
      <c r="LMZ493" s="106"/>
      <c r="LNA493" s="106"/>
      <c r="LNB493" s="106"/>
      <c r="LNC493" s="106"/>
      <c r="LND493" s="106"/>
      <c r="LNE493" s="106"/>
      <c r="LNF493" s="106"/>
      <c r="LNG493" s="106"/>
      <c r="LNH493" s="106"/>
      <c r="LNI493" s="106"/>
      <c r="LNJ493" s="106"/>
      <c r="LNK493" s="106"/>
      <c r="LNL493" s="106"/>
      <c r="LNM493" s="106"/>
      <c r="LNN493" s="106"/>
      <c r="LNO493" s="106"/>
      <c r="LNP493" s="106"/>
      <c r="LNQ493" s="106"/>
      <c r="LNR493" s="106"/>
      <c r="LNS493" s="106"/>
      <c r="LNT493" s="106"/>
      <c r="LNU493" s="106"/>
      <c r="LNV493" s="106"/>
      <c r="LNW493" s="106"/>
      <c r="LNX493" s="106"/>
      <c r="LNY493" s="106"/>
      <c r="LNZ493" s="106"/>
      <c r="LOA493" s="106"/>
      <c r="LOB493" s="106"/>
      <c r="LOC493" s="106"/>
      <c r="LOD493" s="106"/>
      <c r="LOE493" s="106"/>
      <c r="LOF493" s="106"/>
      <c r="LOG493" s="106"/>
      <c r="LOH493" s="106"/>
      <c r="LOI493" s="106"/>
      <c r="LOJ493" s="106"/>
      <c r="LOK493" s="106"/>
      <c r="LOL493" s="106"/>
      <c r="LOM493" s="106"/>
      <c r="LON493" s="106"/>
      <c r="LOO493" s="106"/>
      <c r="LOP493" s="106"/>
      <c r="LOQ493" s="106"/>
      <c r="LOR493" s="106"/>
      <c r="LOS493" s="106"/>
      <c r="LOT493" s="106"/>
      <c r="LOU493" s="106"/>
      <c r="LOV493" s="106"/>
      <c r="LOW493" s="106"/>
      <c r="LOX493" s="106"/>
      <c r="LOY493" s="106"/>
      <c r="LOZ493" s="106"/>
      <c r="LPA493" s="106"/>
      <c r="LPB493" s="106"/>
      <c r="LPC493" s="106"/>
      <c r="LPD493" s="106"/>
      <c r="LPE493" s="106"/>
      <c r="LPF493" s="106"/>
      <c r="LPG493" s="106"/>
      <c r="LPH493" s="106"/>
      <c r="LPI493" s="106"/>
      <c r="LPJ493" s="106"/>
      <c r="LPK493" s="106"/>
      <c r="LPL493" s="106"/>
      <c r="LPM493" s="106"/>
      <c r="LPN493" s="106"/>
      <c r="LPO493" s="106"/>
      <c r="LPP493" s="106"/>
      <c r="LPQ493" s="106"/>
      <c r="LPR493" s="106"/>
      <c r="LPS493" s="106"/>
      <c r="LPT493" s="106"/>
      <c r="LPU493" s="106"/>
      <c r="LPV493" s="106"/>
      <c r="LPW493" s="106"/>
      <c r="LPX493" s="106"/>
      <c r="LPY493" s="106"/>
      <c r="LPZ493" s="106"/>
      <c r="LQA493" s="106"/>
      <c r="LQB493" s="106"/>
      <c r="LQC493" s="106"/>
      <c r="LQD493" s="106"/>
      <c r="LQE493" s="106"/>
      <c r="LQF493" s="106"/>
      <c r="LQG493" s="106"/>
      <c r="LQH493" s="106"/>
      <c r="LQI493" s="106"/>
      <c r="LQJ493" s="106"/>
      <c r="LQK493" s="106"/>
      <c r="LQL493" s="106"/>
      <c r="LQM493" s="106"/>
      <c r="LQN493" s="106"/>
      <c r="LQO493" s="106"/>
      <c r="LQP493" s="106"/>
      <c r="LQQ493" s="106"/>
      <c r="LQR493" s="106"/>
      <c r="LQS493" s="106"/>
      <c r="LQT493" s="106"/>
      <c r="LQU493" s="106"/>
      <c r="LQV493" s="106"/>
      <c r="LQW493" s="106"/>
      <c r="LQX493" s="106"/>
      <c r="LQY493" s="106"/>
      <c r="LQZ493" s="106"/>
      <c r="LRA493" s="106"/>
      <c r="LRB493" s="106"/>
      <c r="LRC493" s="106"/>
      <c r="LRD493" s="106"/>
      <c r="LRE493" s="106"/>
      <c r="LRF493" s="106"/>
      <c r="LRG493" s="106"/>
      <c r="LRH493" s="106"/>
      <c r="LRI493" s="106"/>
      <c r="LRJ493" s="106"/>
      <c r="LRK493" s="106"/>
      <c r="LRL493" s="106"/>
      <c r="LRM493" s="106"/>
      <c r="LRN493" s="106"/>
      <c r="LRO493" s="106"/>
      <c r="LRP493" s="106"/>
      <c r="LRQ493" s="106"/>
      <c r="LRR493" s="106"/>
      <c r="LRS493" s="106"/>
      <c r="LRT493" s="106"/>
      <c r="LRU493" s="106"/>
      <c r="LRV493" s="106"/>
      <c r="LRW493" s="106"/>
      <c r="LRX493" s="106"/>
      <c r="LRY493" s="106"/>
      <c r="LRZ493" s="106"/>
      <c r="LSA493" s="106"/>
      <c r="LSB493" s="106"/>
      <c r="LSC493" s="106"/>
      <c r="LSD493" s="106"/>
      <c r="LSE493" s="106"/>
      <c r="LSF493" s="106"/>
      <c r="LSG493" s="106"/>
      <c r="LSH493" s="106"/>
      <c r="LSI493" s="106"/>
      <c r="LSJ493" s="106"/>
      <c r="LSK493" s="106"/>
      <c r="LSL493" s="106"/>
      <c r="LSM493" s="106"/>
      <c r="LSN493" s="106"/>
      <c r="LSO493" s="106"/>
      <c r="LSP493" s="106"/>
      <c r="LSQ493" s="106"/>
      <c r="LSR493" s="106"/>
      <c r="LSS493" s="106"/>
      <c r="LST493" s="106"/>
      <c r="LSU493" s="106"/>
      <c r="LSV493" s="106"/>
      <c r="LSW493" s="106"/>
      <c r="LSX493" s="106"/>
      <c r="LSY493" s="106"/>
      <c r="LSZ493" s="106"/>
      <c r="LTA493" s="106"/>
      <c r="LTB493" s="106"/>
      <c r="LTC493" s="106"/>
      <c r="LTD493" s="106"/>
      <c r="LTE493" s="106"/>
      <c r="LTF493" s="106"/>
      <c r="LTG493" s="106"/>
      <c r="LTH493" s="106"/>
      <c r="LTI493" s="106"/>
      <c r="LTJ493" s="106"/>
      <c r="LTK493" s="106"/>
      <c r="LTL493" s="106"/>
      <c r="LTM493" s="106"/>
      <c r="LTN493" s="106"/>
      <c r="LTO493" s="106"/>
      <c r="LTP493" s="106"/>
      <c r="LTQ493" s="106"/>
      <c r="LTR493" s="106"/>
      <c r="LTS493" s="106"/>
      <c r="LTT493" s="106"/>
      <c r="LTU493" s="106"/>
      <c r="LTV493" s="106"/>
      <c r="LTW493" s="106"/>
      <c r="LTX493" s="106"/>
      <c r="LTY493" s="106"/>
      <c r="LTZ493" s="106"/>
      <c r="LUA493" s="106"/>
      <c r="LUB493" s="106"/>
      <c r="LUC493" s="106"/>
      <c r="LUD493" s="106"/>
      <c r="LUE493" s="106"/>
      <c r="LUF493" s="106"/>
      <c r="LUG493" s="106"/>
      <c r="LUH493" s="106"/>
      <c r="LUI493" s="106"/>
      <c r="LUJ493" s="106"/>
      <c r="LUK493" s="106"/>
      <c r="LUL493" s="106"/>
      <c r="LUM493" s="106"/>
      <c r="LUN493" s="106"/>
      <c r="LUO493" s="106"/>
      <c r="LUP493" s="106"/>
      <c r="LUQ493" s="106"/>
      <c r="LUR493" s="106"/>
      <c r="LUS493" s="106"/>
      <c r="LUT493" s="106"/>
      <c r="LUU493" s="106"/>
      <c r="LUV493" s="106"/>
      <c r="LUW493" s="106"/>
      <c r="LUX493" s="106"/>
      <c r="LUY493" s="106"/>
      <c r="LUZ493" s="106"/>
      <c r="LVA493" s="106"/>
      <c r="LVB493" s="106"/>
      <c r="LVC493" s="106"/>
      <c r="LVD493" s="106"/>
      <c r="LVE493" s="106"/>
      <c r="LVF493" s="106"/>
      <c r="LVG493" s="106"/>
      <c r="LVH493" s="106"/>
      <c r="LVI493" s="106"/>
      <c r="LVJ493" s="106"/>
      <c r="LVK493" s="106"/>
      <c r="LVL493" s="106"/>
      <c r="LVM493" s="106"/>
      <c r="LVN493" s="106"/>
      <c r="LVO493" s="106"/>
      <c r="LVP493" s="106"/>
      <c r="LVQ493" s="106"/>
      <c r="LVR493" s="106"/>
      <c r="LVS493" s="106"/>
      <c r="LVT493" s="106"/>
      <c r="LVU493" s="106"/>
      <c r="LVV493" s="106"/>
      <c r="LVW493" s="106"/>
      <c r="LVX493" s="106"/>
      <c r="LVY493" s="106"/>
      <c r="LVZ493" s="106"/>
      <c r="LWA493" s="106"/>
      <c r="LWB493" s="106"/>
      <c r="LWC493" s="106"/>
      <c r="LWD493" s="106"/>
      <c r="LWE493" s="106"/>
      <c r="LWF493" s="106"/>
      <c r="LWG493" s="106"/>
      <c r="LWH493" s="106"/>
      <c r="LWI493" s="106"/>
      <c r="LWJ493" s="106"/>
      <c r="LWK493" s="106"/>
      <c r="LWL493" s="106"/>
      <c r="LWM493" s="106"/>
      <c r="LWN493" s="106"/>
      <c r="LWO493" s="106"/>
      <c r="LWP493" s="106"/>
      <c r="LWQ493" s="106"/>
      <c r="LWR493" s="106"/>
      <c r="LWS493" s="106"/>
      <c r="LWT493" s="106"/>
      <c r="LWU493" s="106"/>
      <c r="LWV493" s="106"/>
      <c r="LWW493" s="106"/>
      <c r="LWX493" s="106"/>
      <c r="LWY493" s="106"/>
      <c r="LWZ493" s="106"/>
      <c r="LXA493" s="106"/>
      <c r="LXB493" s="106"/>
      <c r="LXC493" s="106"/>
      <c r="LXD493" s="106"/>
      <c r="LXE493" s="106"/>
      <c r="LXF493" s="106"/>
      <c r="LXG493" s="106"/>
      <c r="LXH493" s="106"/>
      <c r="LXI493" s="106"/>
      <c r="LXJ493" s="106"/>
      <c r="LXK493" s="106"/>
      <c r="LXL493" s="106"/>
      <c r="LXM493" s="106"/>
      <c r="LXN493" s="106"/>
      <c r="LXO493" s="106"/>
      <c r="LXP493" s="106"/>
      <c r="LXQ493" s="106"/>
      <c r="LXR493" s="106"/>
      <c r="LXS493" s="106"/>
      <c r="LXT493" s="106"/>
      <c r="LXU493" s="106"/>
      <c r="LXV493" s="106"/>
      <c r="LXW493" s="106"/>
      <c r="LXX493" s="106"/>
      <c r="LXY493" s="106"/>
      <c r="LXZ493" s="106"/>
      <c r="LYA493" s="106"/>
      <c r="LYB493" s="106"/>
      <c r="LYC493" s="106"/>
      <c r="LYD493" s="106"/>
      <c r="LYE493" s="106"/>
      <c r="LYF493" s="106"/>
      <c r="LYG493" s="106"/>
      <c r="LYH493" s="106"/>
      <c r="LYI493" s="106"/>
      <c r="LYJ493" s="106"/>
      <c r="LYK493" s="106"/>
      <c r="LYL493" s="106"/>
      <c r="LYM493" s="106"/>
      <c r="LYN493" s="106"/>
      <c r="LYO493" s="106"/>
      <c r="LYP493" s="106"/>
      <c r="LYQ493" s="106"/>
      <c r="LYR493" s="106"/>
      <c r="LYS493" s="106"/>
      <c r="LYT493" s="106"/>
      <c r="LYU493" s="106"/>
      <c r="LYV493" s="106"/>
      <c r="LYW493" s="106"/>
      <c r="LYX493" s="106"/>
      <c r="LYY493" s="106"/>
      <c r="LYZ493" s="106"/>
      <c r="LZA493" s="106"/>
      <c r="LZB493" s="106"/>
      <c r="LZC493" s="106"/>
      <c r="LZD493" s="106"/>
      <c r="LZE493" s="106"/>
      <c r="LZF493" s="106"/>
      <c r="LZG493" s="106"/>
      <c r="LZH493" s="106"/>
      <c r="LZI493" s="106"/>
      <c r="LZJ493" s="106"/>
      <c r="LZK493" s="106"/>
      <c r="LZL493" s="106"/>
      <c r="LZM493" s="106"/>
      <c r="LZN493" s="106"/>
      <c r="LZO493" s="106"/>
      <c r="LZP493" s="106"/>
      <c r="LZQ493" s="106"/>
      <c r="LZR493" s="106"/>
      <c r="LZS493" s="106"/>
      <c r="LZT493" s="106"/>
      <c r="LZU493" s="106"/>
      <c r="LZV493" s="106"/>
      <c r="LZW493" s="106"/>
      <c r="LZX493" s="106"/>
      <c r="LZY493" s="106"/>
      <c r="LZZ493" s="106"/>
      <c r="MAA493" s="106"/>
      <c r="MAB493" s="106"/>
      <c r="MAC493" s="106"/>
      <c r="MAD493" s="106"/>
      <c r="MAE493" s="106"/>
      <c r="MAF493" s="106"/>
      <c r="MAG493" s="106"/>
      <c r="MAH493" s="106"/>
      <c r="MAI493" s="106"/>
      <c r="MAJ493" s="106"/>
      <c r="MAK493" s="106"/>
      <c r="MAL493" s="106"/>
      <c r="MAM493" s="106"/>
      <c r="MAN493" s="106"/>
      <c r="MAO493" s="106"/>
      <c r="MAP493" s="106"/>
      <c r="MAQ493" s="106"/>
      <c r="MAR493" s="106"/>
      <c r="MAS493" s="106"/>
      <c r="MAT493" s="106"/>
      <c r="MAU493" s="106"/>
      <c r="MAV493" s="106"/>
      <c r="MAW493" s="106"/>
      <c r="MAX493" s="106"/>
      <c r="MAY493" s="106"/>
      <c r="MAZ493" s="106"/>
      <c r="MBA493" s="106"/>
      <c r="MBB493" s="106"/>
      <c r="MBC493" s="106"/>
      <c r="MBD493" s="106"/>
      <c r="MBE493" s="106"/>
      <c r="MBF493" s="106"/>
      <c r="MBG493" s="106"/>
      <c r="MBH493" s="106"/>
      <c r="MBI493" s="106"/>
      <c r="MBJ493" s="106"/>
      <c r="MBK493" s="106"/>
      <c r="MBL493" s="106"/>
      <c r="MBM493" s="106"/>
      <c r="MBN493" s="106"/>
      <c r="MBO493" s="106"/>
      <c r="MBP493" s="106"/>
      <c r="MBQ493" s="106"/>
      <c r="MBR493" s="106"/>
      <c r="MBS493" s="106"/>
      <c r="MBT493" s="106"/>
      <c r="MBU493" s="106"/>
      <c r="MBV493" s="106"/>
      <c r="MBW493" s="106"/>
      <c r="MBX493" s="106"/>
      <c r="MBY493" s="106"/>
      <c r="MBZ493" s="106"/>
      <c r="MCA493" s="106"/>
      <c r="MCB493" s="106"/>
      <c r="MCC493" s="106"/>
      <c r="MCD493" s="106"/>
      <c r="MCE493" s="106"/>
      <c r="MCF493" s="106"/>
      <c r="MCG493" s="106"/>
      <c r="MCH493" s="106"/>
      <c r="MCI493" s="106"/>
      <c r="MCJ493" s="106"/>
      <c r="MCK493" s="106"/>
      <c r="MCL493" s="106"/>
      <c r="MCM493" s="106"/>
      <c r="MCN493" s="106"/>
      <c r="MCO493" s="106"/>
      <c r="MCP493" s="106"/>
      <c r="MCQ493" s="106"/>
      <c r="MCR493" s="106"/>
      <c r="MCS493" s="106"/>
      <c r="MCT493" s="106"/>
      <c r="MCU493" s="106"/>
      <c r="MCV493" s="106"/>
      <c r="MCW493" s="106"/>
      <c r="MCX493" s="106"/>
      <c r="MCY493" s="106"/>
      <c r="MCZ493" s="106"/>
      <c r="MDA493" s="106"/>
      <c r="MDB493" s="106"/>
      <c r="MDC493" s="106"/>
      <c r="MDD493" s="106"/>
      <c r="MDE493" s="106"/>
      <c r="MDF493" s="106"/>
      <c r="MDG493" s="106"/>
      <c r="MDH493" s="106"/>
      <c r="MDI493" s="106"/>
      <c r="MDJ493" s="106"/>
      <c r="MDK493" s="106"/>
      <c r="MDL493" s="106"/>
      <c r="MDM493" s="106"/>
      <c r="MDN493" s="106"/>
      <c r="MDO493" s="106"/>
      <c r="MDP493" s="106"/>
      <c r="MDQ493" s="106"/>
      <c r="MDR493" s="106"/>
      <c r="MDS493" s="106"/>
      <c r="MDT493" s="106"/>
      <c r="MDU493" s="106"/>
      <c r="MDV493" s="106"/>
      <c r="MDW493" s="106"/>
      <c r="MDX493" s="106"/>
      <c r="MDY493" s="106"/>
      <c r="MDZ493" s="106"/>
      <c r="MEA493" s="106"/>
      <c r="MEB493" s="106"/>
      <c r="MEC493" s="106"/>
      <c r="MED493" s="106"/>
      <c r="MEE493" s="106"/>
      <c r="MEF493" s="106"/>
      <c r="MEG493" s="106"/>
      <c r="MEH493" s="106"/>
      <c r="MEI493" s="106"/>
      <c r="MEJ493" s="106"/>
      <c r="MEK493" s="106"/>
      <c r="MEL493" s="106"/>
      <c r="MEM493" s="106"/>
      <c r="MEN493" s="106"/>
      <c r="MEO493" s="106"/>
      <c r="MEP493" s="106"/>
      <c r="MEQ493" s="106"/>
      <c r="MER493" s="106"/>
      <c r="MES493" s="106"/>
      <c r="MET493" s="106"/>
      <c r="MEU493" s="106"/>
      <c r="MEV493" s="106"/>
      <c r="MEW493" s="106"/>
      <c r="MEX493" s="106"/>
      <c r="MEY493" s="106"/>
      <c r="MEZ493" s="106"/>
      <c r="MFA493" s="106"/>
      <c r="MFB493" s="106"/>
      <c r="MFC493" s="106"/>
      <c r="MFD493" s="106"/>
      <c r="MFE493" s="106"/>
      <c r="MFF493" s="106"/>
      <c r="MFG493" s="106"/>
      <c r="MFH493" s="106"/>
      <c r="MFI493" s="106"/>
      <c r="MFJ493" s="106"/>
      <c r="MFK493" s="106"/>
      <c r="MFL493" s="106"/>
      <c r="MFM493" s="106"/>
      <c r="MFN493" s="106"/>
      <c r="MFO493" s="106"/>
      <c r="MFP493" s="106"/>
      <c r="MFQ493" s="106"/>
      <c r="MFR493" s="106"/>
      <c r="MFS493" s="106"/>
      <c r="MFT493" s="106"/>
      <c r="MFU493" s="106"/>
      <c r="MFV493" s="106"/>
      <c r="MFW493" s="106"/>
      <c r="MFX493" s="106"/>
      <c r="MFY493" s="106"/>
      <c r="MFZ493" s="106"/>
      <c r="MGA493" s="106"/>
      <c r="MGB493" s="106"/>
      <c r="MGC493" s="106"/>
      <c r="MGD493" s="106"/>
      <c r="MGE493" s="106"/>
      <c r="MGF493" s="106"/>
      <c r="MGG493" s="106"/>
      <c r="MGH493" s="106"/>
      <c r="MGI493" s="106"/>
      <c r="MGJ493" s="106"/>
      <c r="MGK493" s="106"/>
      <c r="MGL493" s="106"/>
      <c r="MGM493" s="106"/>
      <c r="MGN493" s="106"/>
      <c r="MGO493" s="106"/>
      <c r="MGP493" s="106"/>
      <c r="MGQ493" s="106"/>
      <c r="MGR493" s="106"/>
      <c r="MGS493" s="106"/>
      <c r="MGT493" s="106"/>
      <c r="MGU493" s="106"/>
      <c r="MGV493" s="106"/>
      <c r="MGW493" s="106"/>
      <c r="MGX493" s="106"/>
      <c r="MGY493" s="106"/>
      <c r="MGZ493" s="106"/>
      <c r="MHA493" s="106"/>
      <c r="MHB493" s="106"/>
      <c r="MHC493" s="106"/>
      <c r="MHD493" s="106"/>
      <c r="MHE493" s="106"/>
      <c r="MHF493" s="106"/>
      <c r="MHG493" s="106"/>
      <c r="MHH493" s="106"/>
      <c r="MHI493" s="106"/>
      <c r="MHJ493" s="106"/>
      <c r="MHK493" s="106"/>
      <c r="MHL493" s="106"/>
      <c r="MHM493" s="106"/>
      <c r="MHN493" s="106"/>
      <c r="MHO493" s="106"/>
      <c r="MHP493" s="106"/>
      <c r="MHQ493" s="106"/>
      <c r="MHR493" s="106"/>
      <c r="MHS493" s="106"/>
      <c r="MHT493" s="106"/>
      <c r="MHU493" s="106"/>
      <c r="MHV493" s="106"/>
      <c r="MHW493" s="106"/>
      <c r="MHX493" s="106"/>
      <c r="MHY493" s="106"/>
      <c r="MHZ493" s="106"/>
      <c r="MIA493" s="106"/>
      <c r="MIB493" s="106"/>
      <c r="MIC493" s="106"/>
      <c r="MID493" s="106"/>
      <c r="MIE493" s="106"/>
      <c r="MIF493" s="106"/>
      <c r="MIG493" s="106"/>
      <c r="MIH493" s="106"/>
      <c r="MII493" s="106"/>
      <c r="MIJ493" s="106"/>
      <c r="MIK493" s="106"/>
      <c r="MIL493" s="106"/>
      <c r="MIM493" s="106"/>
      <c r="MIN493" s="106"/>
      <c r="MIO493" s="106"/>
      <c r="MIP493" s="106"/>
      <c r="MIQ493" s="106"/>
      <c r="MIR493" s="106"/>
      <c r="MIS493" s="106"/>
      <c r="MIT493" s="106"/>
      <c r="MIU493" s="106"/>
      <c r="MIV493" s="106"/>
      <c r="MIW493" s="106"/>
      <c r="MIX493" s="106"/>
      <c r="MIY493" s="106"/>
      <c r="MIZ493" s="106"/>
      <c r="MJA493" s="106"/>
      <c r="MJB493" s="106"/>
      <c r="MJC493" s="106"/>
      <c r="MJD493" s="106"/>
      <c r="MJE493" s="106"/>
      <c r="MJF493" s="106"/>
      <c r="MJG493" s="106"/>
      <c r="MJH493" s="106"/>
      <c r="MJI493" s="106"/>
      <c r="MJJ493" s="106"/>
      <c r="MJK493" s="106"/>
      <c r="MJL493" s="106"/>
      <c r="MJM493" s="106"/>
      <c r="MJN493" s="106"/>
      <c r="MJO493" s="106"/>
      <c r="MJP493" s="106"/>
      <c r="MJQ493" s="106"/>
      <c r="MJR493" s="106"/>
      <c r="MJS493" s="106"/>
      <c r="MJT493" s="106"/>
      <c r="MJU493" s="106"/>
      <c r="MJV493" s="106"/>
      <c r="MJW493" s="106"/>
      <c r="MJX493" s="106"/>
      <c r="MJY493" s="106"/>
      <c r="MJZ493" s="106"/>
      <c r="MKA493" s="106"/>
      <c r="MKB493" s="106"/>
      <c r="MKC493" s="106"/>
      <c r="MKD493" s="106"/>
      <c r="MKE493" s="106"/>
      <c r="MKF493" s="106"/>
      <c r="MKG493" s="106"/>
      <c r="MKH493" s="106"/>
      <c r="MKI493" s="106"/>
      <c r="MKJ493" s="106"/>
      <c r="MKK493" s="106"/>
      <c r="MKL493" s="106"/>
      <c r="MKM493" s="106"/>
      <c r="MKN493" s="106"/>
      <c r="MKO493" s="106"/>
      <c r="MKP493" s="106"/>
      <c r="MKQ493" s="106"/>
      <c r="MKR493" s="106"/>
      <c r="MKS493" s="106"/>
      <c r="MKT493" s="106"/>
      <c r="MKU493" s="106"/>
      <c r="MKV493" s="106"/>
      <c r="MKW493" s="106"/>
      <c r="MKX493" s="106"/>
      <c r="MKY493" s="106"/>
      <c r="MKZ493" s="106"/>
      <c r="MLA493" s="106"/>
      <c r="MLB493" s="106"/>
      <c r="MLC493" s="106"/>
      <c r="MLD493" s="106"/>
      <c r="MLE493" s="106"/>
      <c r="MLF493" s="106"/>
      <c r="MLG493" s="106"/>
      <c r="MLH493" s="106"/>
      <c r="MLI493" s="106"/>
      <c r="MLJ493" s="106"/>
      <c r="MLK493" s="106"/>
      <c r="MLL493" s="106"/>
      <c r="MLM493" s="106"/>
      <c r="MLN493" s="106"/>
      <c r="MLO493" s="106"/>
      <c r="MLP493" s="106"/>
      <c r="MLQ493" s="106"/>
      <c r="MLR493" s="106"/>
      <c r="MLS493" s="106"/>
      <c r="MLT493" s="106"/>
      <c r="MLU493" s="106"/>
      <c r="MLV493" s="106"/>
      <c r="MLW493" s="106"/>
      <c r="MLX493" s="106"/>
      <c r="MLY493" s="106"/>
      <c r="MLZ493" s="106"/>
      <c r="MMA493" s="106"/>
      <c r="MMB493" s="106"/>
      <c r="MMC493" s="106"/>
      <c r="MMD493" s="106"/>
      <c r="MME493" s="106"/>
      <c r="MMF493" s="106"/>
      <c r="MMG493" s="106"/>
      <c r="MMH493" s="106"/>
      <c r="MMI493" s="106"/>
      <c r="MMJ493" s="106"/>
      <c r="MMK493" s="106"/>
      <c r="MML493" s="106"/>
      <c r="MMM493" s="106"/>
      <c r="MMN493" s="106"/>
      <c r="MMO493" s="106"/>
      <c r="MMP493" s="106"/>
      <c r="MMQ493" s="106"/>
      <c r="MMR493" s="106"/>
      <c r="MMS493" s="106"/>
      <c r="MMT493" s="106"/>
      <c r="MMU493" s="106"/>
      <c r="MMV493" s="106"/>
      <c r="MMW493" s="106"/>
      <c r="MMX493" s="106"/>
      <c r="MMY493" s="106"/>
      <c r="MMZ493" s="106"/>
      <c r="MNA493" s="106"/>
      <c r="MNB493" s="106"/>
      <c r="MNC493" s="106"/>
      <c r="MND493" s="106"/>
      <c r="MNE493" s="106"/>
      <c r="MNF493" s="106"/>
      <c r="MNG493" s="106"/>
      <c r="MNH493" s="106"/>
      <c r="MNI493" s="106"/>
      <c r="MNJ493" s="106"/>
      <c r="MNK493" s="106"/>
      <c r="MNL493" s="106"/>
      <c r="MNM493" s="106"/>
      <c r="MNN493" s="106"/>
      <c r="MNO493" s="106"/>
      <c r="MNP493" s="106"/>
      <c r="MNQ493" s="106"/>
      <c r="MNR493" s="106"/>
      <c r="MNS493" s="106"/>
      <c r="MNT493" s="106"/>
      <c r="MNU493" s="106"/>
      <c r="MNV493" s="106"/>
      <c r="MNW493" s="106"/>
      <c r="MNX493" s="106"/>
      <c r="MNY493" s="106"/>
      <c r="MNZ493" s="106"/>
      <c r="MOA493" s="106"/>
      <c r="MOB493" s="106"/>
      <c r="MOC493" s="106"/>
      <c r="MOD493" s="106"/>
      <c r="MOE493" s="106"/>
      <c r="MOF493" s="106"/>
      <c r="MOG493" s="106"/>
      <c r="MOH493" s="106"/>
      <c r="MOI493" s="106"/>
      <c r="MOJ493" s="106"/>
      <c r="MOK493" s="106"/>
      <c r="MOL493" s="106"/>
      <c r="MOM493" s="106"/>
      <c r="MON493" s="106"/>
      <c r="MOO493" s="106"/>
      <c r="MOP493" s="106"/>
      <c r="MOQ493" s="106"/>
      <c r="MOR493" s="106"/>
      <c r="MOS493" s="106"/>
      <c r="MOT493" s="106"/>
      <c r="MOU493" s="106"/>
      <c r="MOV493" s="106"/>
      <c r="MOW493" s="106"/>
      <c r="MOX493" s="106"/>
      <c r="MOY493" s="106"/>
      <c r="MOZ493" s="106"/>
      <c r="MPA493" s="106"/>
      <c r="MPB493" s="106"/>
      <c r="MPC493" s="106"/>
      <c r="MPD493" s="106"/>
      <c r="MPE493" s="106"/>
      <c r="MPF493" s="106"/>
      <c r="MPG493" s="106"/>
      <c r="MPH493" s="106"/>
      <c r="MPI493" s="106"/>
      <c r="MPJ493" s="106"/>
      <c r="MPK493" s="106"/>
      <c r="MPL493" s="106"/>
      <c r="MPM493" s="106"/>
      <c r="MPN493" s="106"/>
      <c r="MPO493" s="106"/>
      <c r="MPP493" s="106"/>
      <c r="MPQ493" s="106"/>
      <c r="MPR493" s="106"/>
      <c r="MPS493" s="106"/>
      <c r="MPT493" s="106"/>
      <c r="MPU493" s="106"/>
      <c r="MPV493" s="106"/>
      <c r="MPW493" s="106"/>
      <c r="MPX493" s="106"/>
      <c r="MPY493" s="106"/>
      <c r="MPZ493" s="106"/>
      <c r="MQA493" s="106"/>
      <c r="MQB493" s="106"/>
      <c r="MQC493" s="106"/>
      <c r="MQD493" s="106"/>
      <c r="MQE493" s="106"/>
      <c r="MQF493" s="106"/>
      <c r="MQG493" s="106"/>
      <c r="MQH493" s="106"/>
      <c r="MQI493" s="106"/>
      <c r="MQJ493" s="106"/>
      <c r="MQK493" s="106"/>
      <c r="MQL493" s="106"/>
      <c r="MQM493" s="106"/>
      <c r="MQN493" s="106"/>
      <c r="MQO493" s="106"/>
      <c r="MQP493" s="106"/>
      <c r="MQQ493" s="106"/>
      <c r="MQR493" s="106"/>
      <c r="MQS493" s="106"/>
      <c r="MQT493" s="106"/>
      <c r="MQU493" s="106"/>
      <c r="MQV493" s="106"/>
      <c r="MQW493" s="106"/>
      <c r="MQX493" s="106"/>
      <c r="MQY493" s="106"/>
      <c r="MQZ493" s="106"/>
      <c r="MRA493" s="106"/>
      <c r="MRB493" s="106"/>
      <c r="MRC493" s="106"/>
      <c r="MRD493" s="106"/>
      <c r="MRE493" s="106"/>
      <c r="MRF493" s="106"/>
      <c r="MRG493" s="106"/>
      <c r="MRH493" s="106"/>
      <c r="MRI493" s="106"/>
      <c r="MRJ493" s="106"/>
      <c r="MRK493" s="106"/>
      <c r="MRL493" s="106"/>
      <c r="MRM493" s="106"/>
      <c r="MRN493" s="106"/>
      <c r="MRO493" s="106"/>
      <c r="MRP493" s="106"/>
      <c r="MRQ493" s="106"/>
      <c r="MRR493" s="106"/>
      <c r="MRS493" s="106"/>
      <c r="MRT493" s="106"/>
      <c r="MRU493" s="106"/>
      <c r="MRV493" s="106"/>
      <c r="MRW493" s="106"/>
      <c r="MRX493" s="106"/>
      <c r="MRY493" s="106"/>
      <c r="MRZ493" s="106"/>
      <c r="MSA493" s="106"/>
      <c r="MSB493" s="106"/>
      <c r="MSC493" s="106"/>
      <c r="MSD493" s="106"/>
      <c r="MSE493" s="106"/>
      <c r="MSF493" s="106"/>
      <c r="MSG493" s="106"/>
      <c r="MSH493" s="106"/>
      <c r="MSI493" s="106"/>
      <c r="MSJ493" s="106"/>
      <c r="MSK493" s="106"/>
      <c r="MSL493" s="106"/>
      <c r="MSM493" s="106"/>
      <c r="MSN493" s="106"/>
      <c r="MSO493" s="106"/>
      <c r="MSP493" s="106"/>
      <c r="MSQ493" s="106"/>
      <c r="MSR493" s="106"/>
      <c r="MSS493" s="106"/>
      <c r="MST493" s="106"/>
      <c r="MSU493" s="106"/>
      <c r="MSV493" s="106"/>
      <c r="MSW493" s="106"/>
      <c r="MSX493" s="106"/>
      <c r="MSY493" s="106"/>
      <c r="MSZ493" s="106"/>
      <c r="MTA493" s="106"/>
      <c r="MTB493" s="106"/>
      <c r="MTC493" s="106"/>
      <c r="MTD493" s="106"/>
      <c r="MTE493" s="106"/>
      <c r="MTF493" s="106"/>
      <c r="MTG493" s="106"/>
      <c r="MTH493" s="106"/>
      <c r="MTI493" s="106"/>
      <c r="MTJ493" s="106"/>
      <c r="MTK493" s="106"/>
      <c r="MTL493" s="106"/>
      <c r="MTM493" s="106"/>
      <c r="MTN493" s="106"/>
      <c r="MTO493" s="106"/>
      <c r="MTP493" s="106"/>
      <c r="MTQ493" s="106"/>
      <c r="MTR493" s="106"/>
      <c r="MTS493" s="106"/>
      <c r="MTT493" s="106"/>
      <c r="MTU493" s="106"/>
      <c r="MTV493" s="106"/>
      <c r="MTW493" s="106"/>
      <c r="MTX493" s="106"/>
      <c r="MTY493" s="106"/>
      <c r="MTZ493" s="106"/>
      <c r="MUA493" s="106"/>
      <c r="MUB493" s="106"/>
      <c r="MUC493" s="106"/>
      <c r="MUD493" s="106"/>
      <c r="MUE493" s="106"/>
      <c r="MUF493" s="106"/>
      <c r="MUG493" s="106"/>
      <c r="MUH493" s="106"/>
      <c r="MUI493" s="106"/>
      <c r="MUJ493" s="106"/>
      <c r="MUK493" s="106"/>
      <c r="MUL493" s="106"/>
      <c r="MUM493" s="106"/>
      <c r="MUN493" s="106"/>
      <c r="MUO493" s="106"/>
      <c r="MUP493" s="106"/>
      <c r="MUQ493" s="106"/>
      <c r="MUR493" s="106"/>
      <c r="MUS493" s="106"/>
      <c r="MUT493" s="106"/>
      <c r="MUU493" s="106"/>
      <c r="MUV493" s="106"/>
      <c r="MUW493" s="106"/>
      <c r="MUX493" s="106"/>
      <c r="MUY493" s="106"/>
      <c r="MUZ493" s="106"/>
      <c r="MVA493" s="106"/>
      <c r="MVB493" s="106"/>
      <c r="MVC493" s="106"/>
      <c r="MVD493" s="106"/>
      <c r="MVE493" s="106"/>
      <c r="MVF493" s="106"/>
      <c r="MVG493" s="106"/>
      <c r="MVH493" s="106"/>
      <c r="MVI493" s="106"/>
      <c r="MVJ493" s="106"/>
      <c r="MVK493" s="106"/>
      <c r="MVL493" s="106"/>
      <c r="MVM493" s="106"/>
      <c r="MVN493" s="106"/>
      <c r="MVO493" s="106"/>
      <c r="MVP493" s="106"/>
      <c r="MVQ493" s="106"/>
      <c r="MVR493" s="106"/>
      <c r="MVS493" s="106"/>
      <c r="MVT493" s="106"/>
      <c r="MVU493" s="106"/>
      <c r="MVV493" s="106"/>
      <c r="MVW493" s="106"/>
      <c r="MVX493" s="106"/>
      <c r="MVY493" s="106"/>
      <c r="MVZ493" s="106"/>
      <c r="MWA493" s="106"/>
      <c r="MWB493" s="106"/>
      <c r="MWC493" s="106"/>
      <c r="MWD493" s="106"/>
      <c r="MWE493" s="106"/>
      <c r="MWF493" s="106"/>
      <c r="MWG493" s="106"/>
      <c r="MWH493" s="106"/>
      <c r="MWI493" s="106"/>
      <c r="MWJ493" s="106"/>
      <c r="MWK493" s="106"/>
      <c r="MWL493" s="106"/>
      <c r="MWM493" s="106"/>
      <c r="MWN493" s="106"/>
      <c r="MWO493" s="106"/>
      <c r="MWP493" s="106"/>
      <c r="MWQ493" s="106"/>
      <c r="MWR493" s="106"/>
      <c r="MWS493" s="106"/>
      <c r="MWT493" s="106"/>
      <c r="MWU493" s="106"/>
      <c r="MWV493" s="106"/>
      <c r="MWW493" s="106"/>
      <c r="MWX493" s="106"/>
      <c r="MWY493" s="106"/>
      <c r="MWZ493" s="106"/>
      <c r="MXA493" s="106"/>
      <c r="MXB493" s="106"/>
      <c r="MXC493" s="106"/>
      <c r="MXD493" s="106"/>
      <c r="MXE493" s="106"/>
      <c r="MXF493" s="106"/>
      <c r="MXG493" s="106"/>
      <c r="MXH493" s="106"/>
      <c r="MXI493" s="106"/>
      <c r="MXJ493" s="106"/>
      <c r="MXK493" s="106"/>
      <c r="MXL493" s="106"/>
      <c r="MXM493" s="106"/>
      <c r="MXN493" s="106"/>
      <c r="MXO493" s="106"/>
      <c r="MXP493" s="106"/>
      <c r="MXQ493" s="106"/>
      <c r="MXR493" s="106"/>
      <c r="MXS493" s="106"/>
      <c r="MXT493" s="106"/>
      <c r="MXU493" s="106"/>
      <c r="MXV493" s="106"/>
      <c r="MXW493" s="106"/>
      <c r="MXX493" s="106"/>
      <c r="MXY493" s="106"/>
      <c r="MXZ493" s="106"/>
      <c r="MYA493" s="106"/>
      <c r="MYB493" s="106"/>
      <c r="MYC493" s="106"/>
      <c r="MYD493" s="106"/>
      <c r="MYE493" s="106"/>
      <c r="MYF493" s="106"/>
      <c r="MYG493" s="106"/>
      <c r="MYH493" s="106"/>
      <c r="MYI493" s="106"/>
      <c r="MYJ493" s="106"/>
      <c r="MYK493" s="106"/>
      <c r="MYL493" s="106"/>
      <c r="MYM493" s="106"/>
      <c r="MYN493" s="106"/>
      <c r="MYO493" s="106"/>
      <c r="MYP493" s="106"/>
      <c r="MYQ493" s="106"/>
      <c r="MYR493" s="106"/>
      <c r="MYS493" s="106"/>
      <c r="MYT493" s="106"/>
      <c r="MYU493" s="106"/>
      <c r="MYV493" s="106"/>
      <c r="MYW493" s="106"/>
      <c r="MYX493" s="106"/>
      <c r="MYY493" s="106"/>
      <c r="MYZ493" s="106"/>
      <c r="MZA493" s="106"/>
      <c r="MZB493" s="106"/>
      <c r="MZC493" s="106"/>
      <c r="MZD493" s="106"/>
      <c r="MZE493" s="106"/>
      <c r="MZF493" s="106"/>
      <c r="MZG493" s="106"/>
      <c r="MZH493" s="106"/>
      <c r="MZI493" s="106"/>
      <c r="MZJ493" s="106"/>
      <c r="MZK493" s="106"/>
      <c r="MZL493" s="106"/>
      <c r="MZM493" s="106"/>
      <c r="MZN493" s="106"/>
      <c r="MZO493" s="106"/>
      <c r="MZP493" s="106"/>
      <c r="MZQ493" s="106"/>
      <c r="MZR493" s="106"/>
      <c r="MZS493" s="106"/>
      <c r="MZT493" s="106"/>
      <c r="MZU493" s="106"/>
      <c r="MZV493" s="106"/>
      <c r="MZW493" s="106"/>
      <c r="MZX493" s="106"/>
      <c r="MZY493" s="106"/>
      <c r="MZZ493" s="106"/>
      <c r="NAA493" s="106"/>
      <c r="NAB493" s="106"/>
      <c r="NAC493" s="106"/>
      <c r="NAD493" s="106"/>
      <c r="NAE493" s="106"/>
      <c r="NAF493" s="106"/>
      <c r="NAG493" s="106"/>
      <c r="NAH493" s="106"/>
      <c r="NAI493" s="106"/>
      <c r="NAJ493" s="106"/>
      <c r="NAK493" s="106"/>
      <c r="NAL493" s="106"/>
      <c r="NAM493" s="106"/>
      <c r="NAN493" s="106"/>
      <c r="NAO493" s="106"/>
      <c r="NAP493" s="106"/>
      <c r="NAQ493" s="106"/>
      <c r="NAR493" s="106"/>
      <c r="NAS493" s="106"/>
      <c r="NAT493" s="106"/>
      <c r="NAU493" s="106"/>
      <c r="NAV493" s="106"/>
      <c r="NAW493" s="106"/>
      <c r="NAX493" s="106"/>
      <c r="NAY493" s="106"/>
      <c r="NAZ493" s="106"/>
      <c r="NBA493" s="106"/>
      <c r="NBB493" s="106"/>
      <c r="NBC493" s="106"/>
      <c r="NBD493" s="106"/>
      <c r="NBE493" s="106"/>
      <c r="NBF493" s="106"/>
      <c r="NBG493" s="106"/>
      <c r="NBH493" s="106"/>
      <c r="NBI493" s="106"/>
      <c r="NBJ493" s="106"/>
      <c r="NBK493" s="106"/>
      <c r="NBL493" s="106"/>
      <c r="NBM493" s="106"/>
      <c r="NBN493" s="106"/>
      <c r="NBO493" s="106"/>
      <c r="NBP493" s="106"/>
      <c r="NBQ493" s="106"/>
      <c r="NBR493" s="106"/>
      <c r="NBS493" s="106"/>
      <c r="NBT493" s="106"/>
      <c r="NBU493" s="106"/>
      <c r="NBV493" s="106"/>
      <c r="NBW493" s="106"/>
      <c r="NBX493" s="106"/>
      <c r="NBY493" s="106"/>
      <c r="NBZ493" s="106"/>
      <c r="NCA493" s="106"/>
      <c r="NCB493" s="106"/>
      <c r="NCC493" s="106"/>
      <c r="NCD493" s="106"/>
      <c r="NCE493" s="106"/>
      <c r="NCF493" s="106"/>
      <c r="NCG493" s="106"/>
      <c r="NCH493" s="106"/>
      <c r="NCI493" s="106"/>
      <c r="NCJ493" s="106"/>
      <c r="NCK493" s="106"/>
      <c r="NCL493" s="106"/>
      <c r="NCM493" s="106"/>
      <c r="NCN493" s="106"/>
      <c r="NCO493" s="106"/>
      <c r="NCP493" s="106"/>
      <c r="NCQ493" s="106"/>
      <c r="NCR493" s="106"/>
      <c r="NCS493" s="106"/>
      <c r="NCT493" s="106"/>
      <c r="NCU493" s="106"/>
      <c r="NCV493" s="106"/>
      <c r="NCW493" s="106"/>
      <c r="NCX493" s="106"/>
      <c r="NCY493" s="106"/>
      <c r="NCZ493" s="106"/>
      <c r="NDA493" s="106"/>
      <c r="NDB493" s="106"/>
      <c r="NDC493" s="106"/>
      <c r="NDD493" s="106"/>
      <c r="NDE493" s="106"/>
      <c r="NDF493" s="106"/>
      <c r="NDG493" s="106"/>
      <c r="NDH493" s="106"/>
      <c r="NDI493" s="106"/>
      <c r="NDJ493" s="106"/>
      <c r="NDK493" s="106"/>
      <c r="NDL493" s="106"/>
      <c r="NDM493" s="106"/>
      <c r="NDN493" s="106"/>
      <c r="NDO493" s="106"/>
      <c r="NDP493" s="106"/>
      <c r="NDQ493" s="106"/>
      <c r="NDR493" s="106"/>
      <c r="NDS493" s="106"/>
      <c r="NDT493" s="106"/>
      <c r="NDU493" s="106"/>
      <c r="NDV493" s="106"/>
      <c r="NDW493" s="106"/>
      <c r="NDX493" s="106"/>
      <c r="NDY493" s="106"/>
      <c r="NDZ493" s="106"/>
      <c r="NEA493" s="106"/>
      <c r="NEB493" s="106"/>
      <c r="NEC493" s="106"/>
      <c r="NED493" s="106"/>
      <c r="NEE493" s="106"/>
      <c r="NEF493" s="106"/>
      <c r="NEG493" s="106"/>
      <c r="NEH493" s="106"/>
      <c r="NEI493" s="106"/>
      <c r="NEJ493" s="106"/>
      <c r="NEK493" s="106"/>
      <c r="NEL493" s="106"/>
      <c r="NEM493" s="106"/>
      <c r="NEN493" s="106"/>
      <c r="NEO493" s="106"/>
      <c r="NEP493" s="106"/>
      <c r="NEQ493" s="106"/>
      <c r="NER493" s="106"/>
      <c r="NES493" s="106"/>
      <c r="NET493" s="106"/>
      <c r="NEU493" s="106"/>
      <c r="NEV493" s="106"/>
      <c r="NEW493" s="106"/>
      <c r="NEX493" s="106"/>
      <c r="NEY493" s="106"/>
      <c r="NEZ493" s="106"/>
      <c r="NFA493" s="106"/>
      <c r="NFB493" s="106"/>
      <c r="NFC493" s="106"/>
      <c r="NFD493" s="106"/>
      <c r="NFE493" s="106"/>
      <c r="NFF493" s="106"/>
      <c r="NFG493" s="106"/>
      <c r="NFH493" s="106"/>
      <c r="NFI493" s="106"/>
      <c r="NFJ493" s="106"/>
      <c r="NFK493" s="106"/>
      <c r="NFL493" s="106"/>
      <c r="NFM493" s="106"/>
      <c r="NFN493" s="106"/>
      <c r="NFO493" s="106"/>
      <c r="NFP493" s="106"/>
      <c r="NFQ493" s="106"/>
      <c r="NFR493" s="106"/>
      <c r="NFS493" s="106"/>
      <c r="NFT493" s="106"/>
      <c r="NFU493" s="106"/>
      <c r="NFV493" s="106"/>
      <c r="NFW493" s="106"/>
      <c r="NFX493" s="106"/>
      <c r="NFY493" s="106"/>
      <c r="NFZ493" s="106"/>
      <c r="NGA493" s="106"/>
      <c r="NGB493" s="106"/>
      <c r="NGC493" s="106"/>
      <c r="NGD493" s="106"/>
      <c r="NGE493" s="106"/>
      <c r="NGF493" s="106"/>
      <c r="NGG493" s="106"/>
      <c r="NGH493" s="106"/>
      <c r="NGI493" s="106"/>
      <c r="NGJ493" s="106"/>
      <c r="NGK493" s="106"/>
      <c r="NGL493" s="106"/>
      <c r="NGM493" s="106"/>
      <c r="NGN493" s="106"/>
      <c r="NGO493" s="106"/>
      <c r="NGP493" s="106"/>
      <c r="NGQ493" s="106"/>
      <c r="NGR493" s="106"/>
      <c r="NGS493" s="106"/>
      <c r="NGT493" s="106"/>
      <c r="NGU493" s="106"/>
      <c r="NGV493" s="106"/>
      <c r="NGW493" s="106"/>
      <c r="NGX493" s="106"/>
      <c r="NGY493" s="106"/>
      <c r="NGZ493" s="106"/>
      <c r="NHA493" s="106"/>
      <c r="NHB493" s="106"/>
      <c r="NHC493" s="106"/>
      <c r="NHD493" s="106"/>
      <c r="NHE493" s="106"/>
      <c r="NHF493" s="106"/>
      <c r="NHG493" s="106"/>
      <c r="NHH493" s="106"/>
      <c r="NHI493" s="106"/>
      <c r="NHJ493" s="106"/>
      <c r="NHK493" s="106"/>
      <c r="NHL493" s="106"/>
      <c r="NHM493" s="106"/>
      <c r="NHN493" s="106"/>
      <c r="NHO493" s="106"/>
      <c r="NHP493" s="106"/>
      <c r="NHQ493" s="106"/>
      <c r="NHR493" s="106"/>
      <c r="NHS493" s="106"/>
      <c r="NHT493" s="106"/>
      <c r="NHU493" s="106"/>
      <c r="NHV493" s="106"/>
      <c r="NHW493" s="106"/>
      <c r="NHX493" s="106"/>
      <c r="NHY493" s="106"/>
      <c r="NHZ493" s="106"/>
      <c r="NIA493" s="106"/>
      <c r="NIB493" s="106"/>
      <c r="NIC493" s="106"/>
      <c r="NID493" s="106"/>
      <c r="NIE493" s="106"/>
      <c r="NIF493" s="106"/>
      <c r="NIG493" s="106"/>
      <c r="NIH493" s="106"/>
      <c r="NII493" s="106"/>
      <c r="NIJ493" s="106"/>
      <c r="NIK493" s="106"/>
      <c r="NIL493" s="106"/>
      <c r="NIM493" s="106"/>
      <c r="NIN493" s="106"/>
      <c r="NIO493" s="106"/>
      <c r="NIP493" s="106"/>
      <c r="NIQ493" s="106"/>
      <c r="NIR493" s="106"/>
      <c r="NIS493" s="106"/>
      <c r="NIT493" s="106"/>
      <c r="NIU493" s="106"/>
      <c r="NIV493" s="106"/>
      <c r="NIW493" s="106"/>
      <c r="NIX493" s="106"/>
      <c r="NIY493" s="106"/>
      <c r="NIZ493" s="106"/>
      <c r="NJA493" s="106"/>
      <c r="NJB493" s="106"/>
      <c r="NJC493" s="106"/>
      <c r="NJD493" s="106"/>
      <c r="NJE493" s="106"/>
      <c r="NJF493" s="106"/>
      <c r="NJG493" s="106"/>
      <c r="NJH493" s="106"/>
      <c r="NJI493" s="106"/>
      <c r="NJJ493" s="106"/>
      <c r="NJK493" s="106"/>
      <c r="NJL493" s="106"/>
      <c r="NJM493" s="106"/>
      <c r="NJN493" s="106"/>
      <c r="NJO493" s="106"/>
      <c r="NJP493" s="106"/>
      <c r="NJQ493" s="106"/>
      <c r="NJR493" s="106"/>
      <c r="NJS493" s="106"/>
      <c r="NJT493" s="106"/>
      <c r="NJU493" s="106"/>
      <c r="NJV493" s="106"/>
      <c r="NJW493" s="106"/>
      <c r="NJX493" s="106"/>
      <c r="NJY493" s="106"/>
      <c r="NJZ493" s="106"/>
      <c r="NKA493" s="106"/>
      <c r="NKB493" s="106"/>
      <c r="NKC493" s="106"/>
      <c r="NKD493" s="106"/>
      <c r="NKE493" s="106"/>
      <c r="NKF493" s="106"/>
      <c r="NKG493" s="106"/>
      <c r="NKH493" s="106"/>
      <c r="NKI493" s="106"/>
      <c r="NKJ493" s="106"/>
      <c r="NKK493" s="106"/>
      <c r="NKL493" s="106"/>
      <c r="NKM493" s="106"/>
      <c r="NKN493" s="106"/>
      <c r="NKO493" s="106"/>
      <c r="NKP493" s="106"/>
      <c r="NKQ493" s="106"/>
      <c r="NKR493" s="106"/>
      <c r="NKS493" s="106"/>
      <c r="NKT493" s="106"/>
      <c r="NKU493" s="106"/>
      <c r="NKV493" s="106"/>
      <c r="NKW493" s="106"/>
      <c r="NKX493" s="106"/>
      <c r="NKY493" s="106"/>
      <c r="NKZ493" s="106"/>
      <c r="NLA493" s="106"/>
      <c r="NLB493" s="106"/>
      <c r="NLC493" s="106"/>
      <c r="NLD493" s="106"/>
      <c r="NLE493" s="106"/>
      <c r="NLF493" s="106"/>
      <c r="NLG493" s="106"/>
      <c r="NLH493" s="106"/>
      <c r="NLI493" s="106"/>
      <c r="NLJ493" s="106"/>
      <c r="NLK493" s="106"/>
      <c r="NLL493" s="106"/>
      <c r="NLM493" s="106"/>
      <c r="NLN493" s="106"/>
      <c r="NLO493" s="106"/>
      <c r="NLP493" s="106"/>
      <c r="NLQ493" s="106"/>
      <c r="NLR493" s="106"/>
      <c r="NLS493" s="106"/>
      <c r="NLT493" s="106"/>
      <c r="NLU493" s="106"/>
      <c r="NLV493" s="106"/>
      <c r="NLW493" s="106"/>
      <c r="NLX493" s="106"/>
      <c r="NLY493" s="106"/>
      <c r="NLZ493" s="106"/>
      <c r="NMA493" s="106"/>
      <c r="NMB493" s="106"/>
      <c r="NMC493" s="106"/>
      <c r="NMD493" s="106"/>
      <c r="NME493" s="106"/>
      <c r="NMF493" s="106"/>
      <c r="NMG493" s="106"/>
      <c r="NMH493" s="106"/>
      <c r="NMI493" s="106"/>
      <c r="NMJ493" s="106"/>
      <c r="NMK493" s="106"/>
      <c r="NML493" s="106"/>
      <c r="NMM493" s="106"/>
      <c r="NMN493" s="106"/>
      <c r="NMO493" s="106"/>
      <c r="NMP493" s="106"/>
      <c r="NMQ493" s="106"/>
      <c r="NMR493" s="106"/>
      <c r="NMS493" s="106"/>
      <c r="NMT493" s="106"/>
      <c r="NMU493" s="106"/>
      <c r="NMV493" s="106"/>
      <c r="NMW493" s="106"/>
      <c r="NMX493" s="106"/>
      <c r="NMY493" s="106"/>
      <c r="NMZ493" s="106"/>
      <c r="NNA493" s="106"/>
      <c r="NNB493" s="106"/>
      <c r="NNC493" s="106"/>
      <c r="NND493" s="106"/>
      <c r="NNE493" s="106"/>
      <c r="NNF493" s="106"/>
      <c r="NNG493" s="106"/>
      <c r="NNH493" s="106"/>
      <c r="NNI493" s="106"/>
      <c r="NNJ493" s="106"/>
      <c r="NNK493" s="106"/>
      <c r="NNL493" s="106"/>
      <c r="NNM493" s="106"/>
      <c r="NNN493" s="106"/>
      <c r="NNO493" s="106"/>
      <c r="NNP493" s="106"/>
      <c r="NNQ493" s="106"/>
      <c r="NNR493" s="106"/>
      <c r="NNS493" s="106"/>
      <c r="NNT493" s="106"/>
      <c r="NNU493" s="106"/>
      <c r="NNV493" s="106"/>
      <c r="NNW493" s="106"/>
      <c r="NNX493" s="106"/>
      <c r="NNY493" s="106"/>
      <c r="NNZ493" s="106"/>
      <c r="NOA493" s="106"/>
      <c r="NOB493" s="106"/>
      <c r="NOC493" s="106"/>
      <c r="NOD493" s="106"/>
      <c r="NOE493" s="106"/>
      <c r="NOF493" s="106"/>
      <c r="NOG493" s="106"/>
      <c r="NOH493" s="106"/>
      <c r="NOI493" s="106"/>
      <c r="NOJ493" s="106"/>
      <c r="NOK493" s="106"/>
      <c r="NOL493" s="106"/>
      <c r="NOM493" s="106"/>
      <c r="NON493" s="106"/>
      <c r="NOO493" s="106"/>
      <c r="NOP493" s="106"/>
      <c r="NOQ493" s="106"/>
      <c r="NOR493" s="106"/>
      <c r="NOS493" s="106"/>
      <c r="NOT493" s="106"/>
      <c r="NOU493" s="106"/>
      <c r="NOV493" s="106"/>
      <c r="NOW493" s="106"/>
      <c r="NOX493" s="106"/>
      <c r="NOY493" s="106"/>
      <c r="NOZ493" s="106"/>
      <c r="NPA493" s="106"/>
      <c r="NPB493" s="106"/>
      <c r="NPC493" s="106"/>
      <c r="NPD493" s="106"/>
      <c r="NPE493" s="106"/>
      <c r="NPF493" s="106"/>
      <c r="NPG493" s="106"/>
      <c r="NPH493" s="106"/>
      <c r="NPI493" s="106"/>
      <c r="NPJ493" s="106"/>
      <c r="NPK493" s="106"/>
      <c r="NPL493" s="106"/>
      <c r="NPM493" s="106"/>
      <c r="NPN493" s="106"/>
      <c r="NPO493" s="106"/>
      <c r="NPP493" s="106"/>
      <c r="NPQ493" s="106"/>
      <c r="NPR493" s="106"/>
      <c r="NPS493" s="106"/>
      <c r="NPT493" s="106"/>
      <c r="NPU493" s="106"/>
      <c r="NPV493" s="106"/>
      <c r="NPW493" s="106"/>
      <c r="NPX493" s="106"/>
      <c r="NPY493" s="106"/>
      <c r="NPZ493" s="106"/>
      <c r="NQA493" s="106"/>
      <c r="NQB493" s="106"/>
      <c r="NQC493" s="106"/>
      <c r="NQD493" s="106"/>
      <c r="NQE493" s="106"/>
      <c r="NQF493" s="106"/>
      <c r="NQG493" s="106"/>
      <c r="NQH493" s="106"/>
      <c r="NQI493" s="106"/>
      <c r="NQJ493" s="106"/>
      <c r="NQK493" s="106"/>
      <c r="NQL493" s="106"/>
      <c r="NQM493" s="106"/>
      <c r="NQN493" s="106"/>
      <c r="NQO493" s="106"/>
      <c r="NQP493" s="106"/>
      <c r="NQQ493" s="106"/>
      <c r="NQR493" s="106"/>
      <c r="NQS493" s="106"/>
      <c r="NQT493" s="106"/>
      <c r="NQU493" s="106"/>
      <c r="NQV493" s="106"/>
      <c r="NQW493" s="106"/>
      <c r="NQX493" s="106"/>
      <c r="NQY493" s="106"/>
      <c r="NQZ493" s="106"/>
      <c r="NRA493" s="106"/>
      <c r="NRB493" s="106"/>
      <c r="NRC493" s="106"/>
      <c r="NRD493" s="106"/>
      <c r="NRE493" s="106"/>
      <c r="NRF493" s="106"/>
      <c r="NRG493" s="106"/>
      <c r="NRH493" s="106"/>
      <c r="NRI493" s="106"/>
      <c r="NRJ493" s="106"/>
      <c r="NRK493" s="106"/>
      <c r="NRL493" s="106"/>
      <c r="NRM493" s="106"/>
      <c r="NRN493" s="106"/>
      <c r="NRO493" s="106"/>
      <c r="NRP493" s="106"/>
      <c r="NRQ493" s="106"/>
      <c r="NRR493" s="106"/>
      <c r="NRS493" s="106"/>
      <c r="NRT493" s="106"/>
      <c r="NRU493" s="106"/>
      <c r="NRV493" s="106"/>
      <c r="NRW493" s="106"/>
      <c r="NRX493" s="106"/>
      <c r="NRY493" s="106"/>
      <c r="NRZ493" s="106"/>
      <c r="NSA493" s="106"/>
      <c r="NSB493" s="106"/>
      <c r="NSC493" s="106"/>
      <c r="NSD493" s="106"/>
      <c r="NSE493" s="106"/>
      <c r="NSF493" s="106"/>
      <c r="NSG493" s="106"/>
      <c r="NSH493" s="106"/>
      <c r="NSI493" s="106"/>
      <c r="NSJ493" s="106"/>
      <c r="NSK493" s="106"/>
      <c r="NSL493" s="106"/>
      <c r="NSM493" s="106"/>
      <c r="NSN493" s="106"/>
      <c r="NSO493" s="106"/>
      <c r="NSP493" s="106"/>
      <c r="NSQ493" s="106"/>
      <c r="NSR493" s="106"/>
      <c r="NSS493" s="106"/>
      <c r="NST493" s="106"/>
      <c r="NSU493" s="106"/>
      <c r="NSV493" s="106"/>
      <c r="NSW493" s="106"/>
      <c r="NSX493" s="106"/>
      <c r="NSY493" s="106"/>
      <c r="NSZ493" s="106"/>
      <c r="NTA493" s="106"/>
      <c r="NTB493" s="106"/>
      <c r="NTC493" s="106"/>
      <c r="NTD493" s="106"/>
      <c r="NTE493" s="106"/>
      <c r="NTF493" s="106"/>
      <c r="NTG493" s="106"/>
      <c r="NTH493" s="106"/>
      <c r="NTI493" s="106"/>
      <c r="NTJ493" s="106"/>
      <c r="NTK493" s="106"/>
      <c r="NTL493" s="106"/>
      <c r="NTM493" s="106"/>
      <c r="NTN493" s="106"/>
      <c r="NTO493" s="106"/>
      <c r="NTP493" s="106"/>
      <c r="NTQ493" s="106"/>
      <c r="NTR493" s="106"/>
      <c r="NTS493" s="106"/>
      <c r="NTT493" s="106"/>
      <c r="NTU493" s="106"/>
      <c r="NTV493" s="106"/>
      <c r="NTW493" s="106"/>
      <c r="NTX493" s="106"/>
      <c r="NTY493" s="106"/>
      <c r="NTZ493" s="106"/>
      <c r="NUA493" s="106"/>
      <c r="NUB493" s="106"/>
      <c r="NUC493" s="106"/>
      <c r="NUD493" s="106"/>
      <c r="NUE493" s="106"/>
      <c r="NUF493" s="106"/>
      <c r="NUG493" s="106"/>
      <c r="NUH493" s="106"/>
      <c r="NUI493" s="106"/>
      <c r="NUJ493" s="106"/>
      <c r="NUK493" s="106"/>
      <c r="NUL493" s="106"/>
      <c r="NUM493" s="106"/>
      <c r="NUN493" s="106"/>
      <c r="NUO493" s="106"/>
      <c r="NUP493" s="106"/>
      <c r="NUQ493" s="106"/>
      <c r="NUR493" s="106"/>
      <c r="NUS493" s="106"/>
      <c r="NUT493" s="106"/>
      <c r="NUU493" s="106"/>
      <c r="NUV493" s="106"/>
      <c r="NUW493" s="106"/>
      <c r="NUX493" s="106"/>
      <c r="NUY493" s="106"/>
      <c r="NUZ493" s="106"/>
      <c r="NVA493" s="106"/>
      <c r="NVB493" s="106"/>
      <c r="NVC493" s="106"/>
      <c r="NVD493" s="106"/>
      <c r="NVE493" s="106"/>
      <c r="NVF493" s="106"/>
      <c r="NVG493" s="106"/>
      <c r="NVH493" s="106"/>
      <c r="NVI493" s="106"/>
      <c r="NVJ493" s="106"/>
      <c r="NVK493" s="106"/>
      <c r="NVL493" s="106"/>
      <c r="NVM493" s="106"/>
      <c r="NVN493" s="106"/>
      <c r="NVO493" s="106"/>
      <c r="NVP493" s="106"/>
      <c r="NVQ493" s="106"/>
      <c r="NVR493" s="106"/>
      <c r="NVS493" s="106"/>
      <c r="NVT493" s="106"/>
      <c r="NVU493" s="106"/>
      <c r="NVV493" s="106"/>
      <c r="NVW493" s="106"/>
      <c r="NVX493" s="106"/>
      <c r="NVY493" s="106"/>
      <c r="NVZ493" s="106"/>
      <c r="NWA493" s="106"/>
      <c r="NWB493" s="106"/>
      <c r="NWC493" s="106"/>
      <c r="NWD493" s="106"/>
      <c r="NWE493" s="106"/>
      <c r="NWF493" s="106"/>
      <c r="NWG493" s="106"/>
      <c r="NWH493" s="106"/>
      <c r="NWI493" s="106"/>
      <c r="NWJ493" s="106"/>
      <c r="NWK493" s="106"/>
      <c r="NWL493" s="106"/>
      <c r="NWM493" s="106"/>
      <c r="NWN493" s="106"/>
      <c r="NWO493" s="106"/>
      <c r="NWP493" s="106"/>
      <c r="NWQ493" s="106"/>
      <c r="NWR493" s="106"/>
      <c r="NWS493" s="106"/>
      <c r="NWT493" s="106"/>
      <c r="NWU493" s="106"/>
      <c r="NWV493" s="106"/>
      <c r="NWW493" s="106"/>
      <c r="NWX493" s="106"/>
      <c r="NWY493" s="106"/>
      <c r="NWZ493" s="106"/>
      <c r="NXA493" s="106"/>
      <c r="NXB493" s="106"/>
      <c r="NXC493" s="106"/>
      <c r="NXD493" s="106"/>
      <c r="NXE493" s="106"/>
      <c r="NXF493" s="106"/>
      <c r="NXG493" s="106"/>
      <c r="NXH493" s="106"/>
      <c r="NXI493" s="106"/>
      <c r="NXJ493" s="106"/>
      <c r="NXK493" s="106"/>
      <c r="NXL493" s="106"/>
      <c r="NXM493" s="106"/>
      <c r="NXN493" s="106"/>
      <c r="NXO493" s="106"/>
      <c r="NXP493" s="106"/>
      <c r="NXQ493" s="106"/>
      <c r="NXR493" s="106"/>
      <c r="NXS493" s="106"/>
      <c r="NXT493" s="106"/>
      <c r="NXU493" s="106"/>
      <c r="NXV493" s="106"/>
      <c r="NXW493" s="106"/>
      <c r="NXX493" s="106"/>
      <c r="NXY493" s="106"/>
      <c r="NXZ493" s="106"/>
      <c r="NYA493" s="106"/>
      <c r="NYB493" s="106"/>
      <c r="NYC493" s="106"/>
      <c r="NYD493" s="106"/>
      <c r="NYE493" s="106"/>
      <c r="NYF493" s="106"/>
      <c r="NYG493" s="106"/>
      <c r="NYH493" s="106"/>
      <c r="NYI493" s="106"/>
      <c r="NYJ493" s="106"/>
      <c r="NYK493" s="106"/>
      <c r="NYL493" s="106"/>
      <c r="NYM493" s="106"/>
      <c r="NYN493" s="106"/>
      <c r="NYO493" s="106"/>
      <c r="NYP493" s="106"/>
      <c r="NYQ493" s="106"/>
      <c r="NYR493" s="106"/>
      <c r="NYS493" s="106"/>
      <c r="NYT493" s="106"/>
      <c r="NYU493" s="106"/>
      <c r="NYV493" s="106"/>
      <c r="NYW493" s="106"/>
      <c r="NYX493" s="106"/>
      <c r="NYY493" s="106"/>
      <c r="NYZ493" s="106"/>
      <c r="NZA493" s="106"/>
      <c r="NZB493" s="106"/>
      <c r="NZC493" s="106"/>
      <c r="NZD493" s="106"/>
      <c r="NZE493" s="106"/>
      <c r="NZF493" s="106"/>
      <c r="NZG493" s="106"/>
      <c r="NZH493" s="106"/>
      <c r="NZI493" s="106"/>
      <c r="NZJ493" s="106"/>
      <c r="NZK493" s="106"/>
      <c r="NZL493" s="106"/>
      <c r="NZM493" s="106"/>
      <c r="NZN493" s="106"/>
      <c r="NZO493" s="106"/>
      <c r="NZP493" s="106"/>
      <c r="NZQ493" s="106"/>
      <c r="NZR493" s="106"/>
      <c r="NZS493" s="106"/>
      <c r="NZT493" s="106"/>
      <c r="NZU493" s="106"/>
      <c r="NZV493" s="106"/>
      <c r="NZW493" s="106"/>
      <c r="NZX493" s="106"/>
      <c r="NZY493" s="106"/>
      <c r="NZZ493" s="106"/>
      <c r="OAA493" s="106"/>
      <c r="OAB493" s="106"/>
      <c r="OAC493" s="106"/>
      <c r="OAD493" s="106"/>
      <c r="OAE493" s="106"/>
      <c r="OAF493" s="106"/>
      <c r="OAG493" s="106"/>
      <c r="OAH493" s="106"/>
      <c r="OAI493" s="106"/>
      <c r="OAJ493" s="106"/>
      <c r="OAK493" s="106"/>
      <c r="OAL493" s="106"/>
      <c r="OAM493" s="106"/>
      <c r="OAN493" s="106"/>
      <c r="OAO493" s="106"/>
      <c r="OAP493" s="106"/>
      <c r="OAQ493" s="106"/>
      <c r="OAR493" s="106"/>
      <c r="OAS493" s="106"/>
      <c r="OAT493" s="106"/>
      <c r="OAU493" s="106"/>
      <c r="OAV493" s="106"/>
      <c r="OAW493" s="106"/>
      <c r="OAX493" s="106"/>
      <c r="OAY493" s="106"/>
      <c r="OAZ493" s="106"/>
      <c r="OBA493" s="106"/>
      <c r="OBB493" s="106"/>
      <c r="OBC493" s="106"/>
      <c r="OBD493" s="106"/>
      <c r="OBE493" s="106"/>
      <c r="OBF493" s="106"/>
      <c r="OBG493" s="106"/>
      <c r="OBH493" s="106"/>
      <c r="OBI493" s="106"/>
      <c r="OBJ493" s="106"/>
      <c r="OBK493" s="106"/>
      <c r="OBL493" s="106"/>
      <c r="OBM493" s="106"/>
      <c r="OBN493" s="106"/>
      <c r="OBO493" s="106"/>
      <c r="OBP493" s="106"/>
      <c r="OBQ493" s="106"/>
      <c r="OBR493" s="106"/>
      <c r="OBS493" s="106"/>
      <c r="OBT493" s="106"/>
      <c r="OBU493" s="106"/>
      <c r="OBV493" s="106"/>
      <c r="OBW493" s="106"/>
      <c r="OBX493" s="106"/>
      <c r="OBY493" s="106"/>
      <c r="OBZ493" s="106"/>
      <c r="OCA493" s="106"/>
      <c r="OCB493" s="106"/>
      <c r="OCC493" s="106"/>
      <c r="OCD493" s="106"/>
      <c r="OCE493" s="106"/>
      <c r="OCF493" s="106"/>
      <c r="OCG493" s="106"/>
      <c r="OCH493" s="106"/>
      <c r="OCI493" s="106"/>
      <c r="OCJ493" s="106"/>
      <c r="OCK493" s="106"/>
      <c r="OCL493" s="106"/>
      <c r="OCM493" s="106"/>
      <c r="OCN493" s="106"/>
      <c r="OCO493" s="106"/>
      <c r="OCP493" s="106"/>
      <c r="OCQ493" s="106"/>
      <c r="OCR493" s="106"/>
      <c r="OCS493" s="106"/>
      <c r="OCT493" s="106"/>
      <c r="OCU493" s="106"/>
      <c r="OCV493" s="106"/>
      <c r="OCW493" s="106"/>
      <c r="OCX493" s="106"/>
      <c r="OCY493" s="106"/>
      <c r="OCZ493" s="106"/>
      <c r="ODA493" s="106"/>
      <c r="ODB493" s="106"/>
      <c r="ODC493" s="106"/>
      <c r="ODD493" s="106"/>
      <c r="ODE493" s="106"/>
      <c r="ODF493" s="106"/>
      <c r="ODG493" s="106"/>
      <c r="ODH493" s="106"/>
      <c r="ODI493" s="106"/>
      <c r="ODJ493" s="106"/>
      <c r="ODK493" s="106"/>
      <c r="ODL493" s="106"/>
      <c r="ODM493" s="106"/>
      <c r="ODN493" s="106"/>
      <c r="ODO493" s="106"/>
      <c r="ODP493" s="106"/>
      <c r="ODQ493" s="106"/>
      <c r="ODR493" s="106"/>
      <c r="ODS493" s="106"/>
      <c r="ODT493" s="106"/>
      <c r="ODU493" s="106"/>
      <c r="ODV493" s="106"/>
      <c r="ODW493" s="106"/>
      <c r="ODX493" s="106"/>
      <c r="ODY493" s="106"/>
      <c r="ODZ493" s="106"/>
      <c r="OEA493" s="106"/>
      <c r="OEB493" s="106"/>
      <c r="OEC493" s="106"/>
      <c r="OED493" s="106"/>
      <c r="OEE493" s="106"/>
      <c r="OEF493" s="106"/>
      <c r="OEG493" s="106"/>
      <c r="OEH493" s="106"/>
      <c r="OEI493" s="106"/>
      <c r="OEJ493" s="106"/>
      <c r="OEK493" s="106"/>
      <c r="OEL493" s="106"/>
      <c r="OEM493" s="106"/>
      <c r="OEN493" s="106"/>
      <c r="OEO493" s="106"/>
      <c r="OEP493" s="106"/>
      <c r="OEQ493" s="106"/>
      <c r="OER493" s="106"/>
      <c r="OES493" s="106"/>
      <c r="OET493" s="106"/>
      <c r="OEU493" s="106"/>
      <c r="OEV493" s="106"/>
      <c r="OEW493" s="106"/>
      <c r="OEX493" s="106"/>
      <c r="OEY493" s="106"/>
      <c r="OEZ493" s="106"/>
      <c r="OFA493" s="106"/>
      <c r="OFB493" s="106"/>
      <c r="OFC493" s="106"/>
      <c r="OFD493" s="106"/>
      <c r="OFE493" s="106"/>
      <c r="OFF493" s="106"/>
      <c r="OFG493" s="106"/>
      <c r="OFH493" s="106"/>
      <c r="OFI493" s="106"/>
      <c r="OFJ493" s="106"/>
      <c r="OFK493" s="106"/>
      <c r="OFL493" s="106"/>
      <c r="OFM493" s="106"/>
      <c r="OFN493" s="106"/>
      <c r="OFO493" s="106"/>
      <c r="OFP493" s="106"/>
      <c r="OFQ493" s="106"/>
      <c r="OFR493" s="106"/>
      <c r="OFS493" s="106"/>
      <c r="OFT493" s="106"/>
      <c r="OFU493" s="106"/>
      <c r="OFV493" s="106"/>
      <c r="OFW493" s="106"/>
      <c r="OFX493" s="106"/>
      <c r="OFY493" s="106"/>
      <c r="OFZ493" s="106"/>
      <c r="OGA493" s="106"/>
      <c r="OGB493" s="106"/>
      <c r="OGC493" s="106"/>
      <c r="OGD493" s="106"/>
      <c r="OGE493" s="106"/>
      <c r="OGF493" s="106"/>
      <c r="OGG493" s="106"/>
      <c r="OGH493" s="106"/>
      <c r="OGI493" s="106"/>
      <c r="OGJ493" s="106"/>
      <c r="OGK493" s="106"/>
      <c r="OGL493" s="106"/>
      <c r="OGM493" s="106"/>
      <c r="OGN493" s="106"/>
      <c r="OGO493" s="106"/>
      <c r="OGP493" s="106"/>
      <c r="OGQ493" s="106"/>
      <c r="OGR493" s="106"/>
      <c r="OGS493" s="106"/>
      <c r="OGT493" s="106"/>
      <c r="OGU493" s="106"/>
      <c r="OGV493" s="106"/>
      <c r="OGW493" s="106"/>
      <c r="OGX493" s="106"/>
      <c r="OGY493" s="106"/>
      <c r="OGZ493" s="106"/>
      <c r="OHA493" s="106"/>
      <c r="OHB493" s="106"/>
      <c r="OHC493" s="106"/>
      <c r="OHD493" s="106"/>
      <c r="OHE493" s="106"/>
      <c r="OHF493" s="106"/>
      <c r="OHG493" s="106"/>
      <c r="OHH493" s="106"/>
      <c r="OHI493" s="106"/>
      <c r="OHJ493" s="106"/>
      <c r="OHK493" s="106"/>
      <c r="OHL493" s="106"/>
      <c r="OHM493" s="106"/>
      <c r="OHN493" s="106"/>
      <c r="OHO493" s="106"/>
      <c r="OHP493" s="106"/>
      <c r="OHQ493" s="106"/>
      <c r="OHR493" s="106"/>
      <c r="OHS493" s="106"/>
      <c r="OHT493" s="106"/>
      <c r="OHU493" s="106"/>
      <c r="OHV493" s="106"/>
      <c r="OHW493" s="106"/>
      <c r="OHX493" s="106"/>
      <c r="OHY493" s="106"/>
      <c r="OHZ493" s="106"/>
      <c r="OIA493" s="106"/>
      <c r="OIB493" s="106"/>
      <c r="OIC493" s="106"/>
      <c r="OID493" s="106"/>
      <c r="OIE493" s="106"/>
      <c r="OIF493" s="106"/>
      <c r="OIG493" s="106"/>
      <c r="OIH493" s="106"/>
      <c r="OII493" s="106"/>
      <c r="OIJ493" s="106"/>
      <c r="OIK493" s="106"/>
      <c r="OIL493" s="106"/>
      <c r="OIM493" s="106"/>
      <c r="OIN493" s="106"/>
      <c r="OIO493" s="106"/>
      <c r="OIP493" s="106"/>
      <c r="OIQ493" s="106"/>
      <c r="OIR493" s="106"/>
      <c r="OIS493" s="106"/>
      <c r="OIT493" s="106"/>
      <c r="OIU493" s="106"/>
      <c r="OIV493" s="106"/>
      <c r="OIW493" s="106"/>
      <c r="OIX493" s="106"/>
      <c r="OIY493" s="106"/>
      <c r="OIZ493" s="106"/>
      <c r="OJA493" s="106"/>
      <c r="OJB493" s="106"/>
      <c r="OJC493" s="106"/>
      <c r="OJD493" s="106"/>
      <c r="OJE493" s="106"/>
      <c r="OJF493" s="106"/>
      <c r="OJG493" s="106"/>
      <c r="OJH493" s="106"/>
      <c r="OJI493" s="106"/>
      <c r="OJJ493" s="106"/>
      <c r="OJK493" s="106"/>
      <c r="OJL493" s="106"/>
      <c r="OJM493" s="106"/>
      <c r="OJN493" s="106"/>
      <c r="OJO493" s="106"/>
      <c r="OJP493" s="106"/>
      <c r="OJQ493" s="106"/>
      <c r="OJR493" s="106"/>
      <c r="OJS493" s="106"/>
      <c r="OJT493" s="106"/>
      <c r="OJU493" s="106"/>
      <c r="OJV493" s="106"/>
      <c r="OJW493" s="106"/>
      <c r="OJX493" s="106"/>
      <c r="OJY493" s="106"/>
      <c r="OJZ493" s="106"/>
      <c r="OKA493" s="106"/>
      <c r="OKB493" s="106"/>
      <c r="OKC493" s="106"/>
      <c r="OKD493" s="106"/>
      <c r="OKE493" s="106"/>
      <c r="OKF493" s="106"/>
      <c r="OKG493" s="106"/>
      <c r="OKH493" s="106"/>
      <c r="OKI493" s="106"/>
      <c r="OKJ493" s="106"/>
      <c r="OKK493" s="106"/>
      <c r="OKL493" s="106"/>
      <c r="OKM493" s="106"/>
      <c r="OKN493" s="106"/>
      <c r="OKO493" s="106"/>
      <c r="OKP493" s="106"/>
      <c r="OKQ493" s="106"/>
      <c r="OKR493" s="106"/>
      <c r="OKS493" s="106"/>
      <c r="OKT493" s="106"/>
      <c r="OKU493" s="106"/>
      <c r="OKV493" s="106"/>
      <c r="OKW493" s="106"/>
      <c r="OKX493" s="106"/>
      <c r="OKY493" s="106"/>
      <c r="OKZ493" s="106"/>
      <c r="OLA493" s="106"/>
      <c r="OLB493" s="106"/>
      <c r="OLC493" s="106"/>
      <c r="OLD493" s="106"/>
      <c r="OLE493" s="106"/>
      <c r="OLF493" s="106"/>
      <c r="OLG493" s="106"/>
      <c r="OLH493" s="106"/>
      <c r="OLI493" s="106"/>
      <c r="OLJ493" s="106"/>
      <c r="OLK493" s="106"/>
      <c r="OLL493" s="106"/>
      <c r="OLM493" s="106"/>
      <c r="OLN493" s="106"/>
      <c r="OLO493" s="106"/>
      <c r="OLP493" s="106"/>
      <c r="OLQ493" s="106"/>
      <c r="OLR493" s="106"/>
      <c r="OLS493" s="106"/>
      <c r="OLT493" s="106"/>
      <c r="OLU493" s="106"/>
      <c r="OLV493" s="106"/>
      <c r="OLW493" s="106"/>
      <c r="OLX493" s="106"/>
      <c r="OLY493" s="106"/>
      <c r="OLZ493" s="106"/>
      <c r="OMA493" s="106"/>
      <c r="OMB493" s="106"/>
      <c r="OMC493" s="106"/>
      <c r="OMD493" s="106"/>
      <c r="OME493" s="106"/>
      <c r="OMF493" s="106"/>
      <c r="OMG493" s="106"/>
      <c r="OMH493" s="106"/>
      <c r="OMI493" s="106"/>
      <c r="OMJ493" s="106"/>
      <c r="OMK493" s="106"/>
      <c r="OML493" s="106"/>
      <c r="OMM493" s="106"/>
      <c r="OMN493" s="106"/>
      <c r="OMO493" s="106"/>
      <c r="OMP493" s="106"/>
      <c r="OMQ493" s="106"/>
      <c r="OMR493" s="106"/>
      <c r="OMS493" s="106"/>
      <c r="OMT493" s="106"/>
      <c r="OMU493" s="106"/>
      <c r="OMV493" s="106"/>
      <c r="OMW493" s="106"/>
      <c r="OMX493" s="106"/>
      <c r="OMY493" s="106"/>
      <c r="OMZ493" s="106"/>
      <c r="ONA493" s="106"/>
      <c r="ONB493" s="106"/>
      <c r="ONC493" s="106"/>
      <c r="OND493" s="106"/>
      <c r="ONE493" s="106"/>
      <c r="ONF493" s="106"/>
      <c r="ONG493" s="106"/>
      <c r="ONH493" s="106"/>
      <c r="ONI493" s="106"/>
      <c r="ONJ493" s="106"/>
      <c r="ONK493" s="106"/>
      <c r="ONL493" s="106"/>
      <c r="ONM493" s="106"/>
      <c r="ONN493" s="106"/>
      <c r="ONO493" s="106"/>
      <c r="ONP493" s="106"/>
      <c r="ONQ493" s="106"/>
      <c r="ONR493" s="106"/>
      <c r="ONS493" s="106"/>
      <c r="ONT493" s="106"/>
      <c r="ONU493" s="106"/>
      <c r="ONV493" s="106"/>
      <c r="ONW493" s="106"/>
      <c r="ONX493" s="106"/>
      <c r="ONY493" s="106"/>
      <c r="ONZ493" s="106"/>
      <c r="OOA493" s="106"/>
      <c r="OOB493" s="106"/>
      <c r="OOC493" s="106"/>
      <c r="OOD493" s="106"/>
      <c r="OOE493" s="106"/>
      <c r="OOF493" s="106"/>
      <c r="OOG493" s="106"/>
      <c r="OOH493" s="106"/>
      <c r="OOI493" s="106"/>
      <c r="OOJ493" s="106"/>
      <c r="OOK493" s="106"/>
      <c r="OOL493" s="106"/>
      <c r="OOM493" s="106"/>
      <c r="OON493" s="106"/>
      <c r="OOO493" s="106"/>
      <c r="OOP493" s="106"/>
      <c r="OOQ493" s="106"/>
      <c r="OOR493" s="106"/>
      <c r="OOS493" s="106"/>
      <c r="OOT493" s="106"/>
      <c r="OOU493" s="106"/>
      <c r="OOV493" s="106"/>
      <c r="OOW493" s="106"/>
      <c r="OOX493" s="106"/>
      <c r="OOY493" s="106"/>
      <c r="OOZ493" s="106"/>
      <c r="OPA493" s="106"/>
      <c r="OPB493" s="106"/>
      <c r="OPC493" s="106"/>
      <c r="OPD493" s="106"/>
      <c r="OPE493" s="106"/>
      <c r="OPF493" s="106"/>
      <c r="OPG493" s="106"/>
      <c r="OPH493" s="106"/>
      <c r="OPI493" s="106"/>
      <c r="OPJ493" s="106"/>
      <c r="OPK493" s="106"/>
      <c r="OPL493" s="106"/>
      <c r="OPM493" s="106"/>
      <c r="OPN493" s="106"/>
      <c r="OPO493" s="106"/>
      <c r="OPP493" s="106"/>
      <c r="OPQ493" s="106"/>
      <c r="OPR493" s="106"/>
      <c r="OPS493" s="106"/>
      <c r="OPT493" s="106"/>
      <c r="OPU493" s="106"/>
      <c r="OPV493" s="106"/>
      <c r="OPW493" s="106"/>
      <c r="OPX493" s="106"/>
      <c r="OPY493" s="106"/>
      <c r="OPZ493" s="106"/>
      <c r="OQA493" s="106"/>
      <c r="OQB493" s="106"/>
      <c r="OQC493" s="106"/>
      <c r="OQD493" s="106"/>
      <c r="OQE493" s="106"/>
      <c r="OQF493" s="106"/>
      <c r="OQG493" s="106"/>
      <c r="OQH493" s="106"/>
      <c r="OQI493" s="106"/>
      <c r="OQJ493" s="106"/>
      <c r="OQK493" s="106"/>
      <c r="OQL493" s="106"/>
      <c r="OQM493" s="106"/>
      <c r="OQN493" s="106"/>
      <c r="OQO493" s="106"/>
      <c r="OQP493" s="106"/>
      <c r="OQQ493" s="106"/>
      <c r="OQR493" s="106"/>
      <c r="OQS493" s="106"/>
      <c r="OQT493" s="106"/>
      <c r="OQU493" s="106"/>
      <c r="OQV493" s="106"/>
      <c r="OQW493" s="106"/>
      <c r="OQX493" s="106"/>
      <c r="OQY493" s="106"/>
      <c r="OQZ493" s="106"/>
      <c r="ORA493" s="106"/>
      <c r="ORB493" s="106"/>
      <c r="ORC493" s="106"/>
      <c r="ORD493" s="106"/>
      <c r="ORE493" s="106"/>
      <c r="ORF493" s="106"/>
      <c r="ORG493" s="106"/>
      <c r="ORH493" s="106"/>
      <c r="ORI493" s="106"/>
      <c r="ORJ493" s="106"/>
      <c r="ORK493" s="106"/>
      <c r="ORL493" s="106"/>
      <c r="ORM493" s="106"/>
      <c r="ORN493" s="106"/>
      <c r="ORO493" s="106"/>
      <c r="ORP493" s="106"/>
      <c r="ORQ493" s="106"/>
      <c r="ORR493" s="106"/>
      <c r="ORS493" s="106"/>
      <c r="ORT493" s="106"/>
      <c r="ORU493" s="106"/>
      <c r="ORV493" s="106"/>
      <c r="ORW493" s="106"/>
      <c r="ORX493" s="106"/>
      <c r="ORY493" s="106"/>
      <c r="ORZ493" s="106"/>
      <c r="OSA493" s="106"/>
      <c r="OSB493" s="106"/>
      <c r="OSC493" s="106"/>
      <c r="OSD493" s="106"/>
      <c r="OSE493" s="106"/>
      <c r="OSF493" s="106"/>
      <c r="OSG493" s="106"/>
      <c r="OSH493" s="106"/>
      <c r="OSI493" s="106"/>
      <c r="OSJ493" s="106"/>
      <c r="OSK493" s="106"/>
      <c r="OSL493" s="106"/>
      <c r="OSM493" s="106"/>
      <c r="OSN493" s="106"/>
      <c r="OSO493" s="106"/>
      <c r="OSP493" s="106"/>
      <c r="OSQ493" s="106"/>
      <c r="OSR493" s="106"/>
      <c r="OSS493" s="106"/>
      <c r="OST493" s="106"/>
      <c r="OSU493" s="106"/>
      <c r="OSV493" s="106"/>
      <c r="OSW493" s="106"/>
      <c r="OSX493" s="106"/>
      <c r="OSY493" s="106"/>
      <c r="OSZ493" s="106"/>
      <c r="OTA493" s="106"/>
      <c r="OTB493" s="106"/>
      <c r="OTC493" s="106"/>
      <c r="OTD493" s="106"/>
      <c r="OTE493" s="106"/>
      <c r="OTF493" s="106"/>
      <c r="OTG493" s="106"/>
      <c r="OTH493" s="106"/>
      <c r="OTI493" s="106"/>
      <c r="OTJ493" s="106"/>
      <c r="OTK493" s="106"/>
      <c r="OTL493" s="106"/>
      <c r="OTM493" s="106"/>
      <c r="OTN493" s="106"/>
      <c r="OTO493" s="106"/>
      <c r="OTP493" s="106"/>
      <c r="OTQ493" s="106"/>
      <c r="OTR493" s="106"/>
      <c r="OTS493" s="106"/>
      <c r="OTT493" s="106"/>
      <c r="OTU493" s="106"/>
      <c r="OTV493" s="106"/>
      <c r="OTW493" s="106"/>
      <c r="OTX493" s="106"/>
      <c r="OTY493" s="106"/>
      <c r="OTZ493" s="106"/>
      <c r="OUA493" s="106"/>
      <c r="OUB493" s="106"/>
      <c r="OUC493" s="106"/>
      <c r="OUD493" s="106"/>
      <c r="OUE493" s="106"/>
      <c r="OUF493" s="106"/>
      <c r="OUG493" s="106"/>
      <c r="OUH493" s="106"/>
      <c r="OUI493" s="106"/>
      <c r="OUJ493" s="106"/>
      <c r="OUK493" s="106"/>
      <c r="OUL493" s="106"/>
      <c r="OUM493" s="106"/>
      <c r="OUN493" s="106"/>
      <c r="OUO493" s="106"/>
      <c r="OUP493" s="106"/>
      <c r="OUQ493" s="106"/>
      <c r="OUR493" s="106"/>
      <c r="OUS493" s="106"/>
      <c r="OUT493" s="106"/>
      <c r="OUU493" s="106"/>
      <c r="OUV493" s="106"/>
      <c r="OUW493" s="106"/>
      <c r="OUX493" s="106"/>
      <c r="OUY493" s="106"/>
      <c r="OUZ493" s="106"/>
      <c r="OVA493" s="106"/>
      <c r="OVB493" s="106"/>
      <c r="OVC493" s="106"/>
      <c r="OVD493" s="106"/>
      <c r="OVE493" s="106"/>
      <c r="OVF493" s="106"/>
      <c r="OVG493" s="106"/>
      <c r="OVH493" s="106"/>
      <c r="OVI493" s="106"/>
      <c r="OVJ493" s="106"/>
      <c r="OVK493" s="106"/>
      <c r="OVL493" s="106"/>
      <c r="OVM493" s="106"/>
      <c r="OVN493" s="106"/>
      <c r="OVO493" s="106"/>
      <c r="OVP493" s="106"/>
      <c r="OVQ493" s="106"/>
      <c r="OVR493" s="106"/>
      <c r="OVS493" s="106"/>
      <c r="OVT493" s="106"/>
      <c r="OVU493" s="106"/>
      <c r="OVV493" s="106"/>
      <c r="OVW493" s="106"/>
      <c r="OVX493" s="106"/>
      <c r="OVY493" s="106"/>
      <c r="OVZ493" s="106"/>
      <c r="OWA493" s="106"/>
      <c r="OWB493" s="106"/>
      <c r="OWC493" s="106"/>
      <c r="OWD493" s="106"/>
      <c r="OWE493" s="106"/>
      <c r="OWF493" s="106"/>
      <c r="OWG493" s="106"/>
      <c r="OWH493" s="106"/>
      <c r="OWI493" s="106"/>
      <c r="OWJ493" s="106"/>
      <c r="OWK493" s="106"/>
      <c r="OWL493" s="106"/>
      <c r="OWM493" s="106"/>
      <c r="OWN493" s="106"/>
      <c r="OWO493" s="106"/>
      <c r="OWP493" s="106"/>
      <c r="OWQ493" s="106"/>
      <c r="OWR493" s="106"/>
      <c r="OWS493" s="106"/>
      <c r="OWT493" s="106"/>
      <c r="OWU493" s="106"/>
      <c r="OWV493" s="106"/>
      <c r="OWW493" s="106"/>
      <c r="OWX493" s="106"/>
      <c r="OWY493" s="106"/>
      <c r="OWZ493" s="106"/>
      <c r="OXA493" s="106"/>
      <c r="OXB493" s="106"/>
      <c r="OXC493" s="106"/>
      <c r="OXD493" s="106"/>
      <c r="OXE493" s="106"/>
      <c r="OXF493" s="106"/>
      <c r="OXG493" s="106"/>
      <c r="OXH493" s="106"/>
      <c r="OXI493" s="106"/>
      <c r="OXJ493" s="106"/>
      <c r="OXK493" s="106"/>
      <c r="OXL493" s="106"/>
      <c r="OXM493" s="106"/>
      <c r="OXN493" s="106"/>
      <c r="OXO493" s="106"/>
      <c r="OXP493" s="106"/>
      <c r="OXQ493" s="106"/>
      <c r="OXR493" s="106"/>
      <c r="OXS493" s="106"/>
      <c r="OXT493" s="106"/>
      <c r="OXU493" s="106"/>
      <c r="OXV493" s="106"/>
      <c r="OXW493" s="106"/>
      <c r="OXX493" s="106"/>
      <c r="OXY493" s="106"/>
      <c r="OXZ493" s="106"/>
      <c r="OYA493" s="106"/>
      <c r="OYB493" s="106"/>
      <c r="OYC493" s="106"/>
      <c r="OYD493" s="106"/>
      <c r="OYE493" s="106"/>
      <c r="OYF493" s="106"/>
      <c r="OYG493" s="106"/>
      <c r="OYH493" s="106"/>
      <c r="OYI493" s="106"/>
      <c r="OYJ493" s="106"/>
      <c r="OYK493" s="106"/>
      <c r="OYL493" s="106"/>
      <c r="OYM493" s="106"/>
      <c r="OYN493" s="106"/>
      <c r="OYO493" s="106"/>
      <c r="OYP493" s="106"/>
      <c r="OYQ493" s="106"/>
      <c r="OYR493" s="106"/>
      <c r="OYS493" s="106"/>
      <c r="OYT493" s="106"/>
      <c r="OYU493" s="106"/>
      <c r="OYV493" s="106"/>
      <c r="OYW493" s="106"/>
      <c r="OYX493" s="106"/>
      <c r="OYY493" s="106"/>
      <c r="OYZ493" s="106"/>
      <c r="OZA493" s="106"/>
      <c r="OZB493" s="106"/>
      <c r="OZC493" s="106"/>
      <c r="OZD493" s="106"/>
      <c r="OZE493" s="106"/>
      <c r="OZF493" s="106"/>
      <c r="OZG493" s="106"/>
      <c r="OZH493" s="106"/>
      <c r="OZI493" s="106"/>
      <c r="OZJ493" s="106"/>
      <c r="OZK493" s="106"/>
      <c r="OZL493" s="106"/>
      <c r="OZM493" s="106"/>
      <c r="OZN493" s="106"/>
      <c r="OZO493" s="106"/>
      <c r="OZP493" s="106"/>
      <c r="OZQ493" s="106"/>
      <c r="OZR493" s="106"/>
      <c r="OZS493" s="106"/>
      <c r="OZT493" s="106"/>
      <c r="OZU493" s="106"/>
      <c r="OZV493" s="106"/>
      <c r="OZW493" s="106"/>
      <c r="OZX493" s="106"/>
      <c r="OZY493" s="106"/>
      <c r="OZZ493" s="106"/>
      <c r="PAA493" s="106"/>
      <c r="PAB493" s="106"/>
      <c r="PAC493" s="106"/>
      <c r="PAD493" s="106"/>
      <c r="PAE493" s="106"/>
      <c r="PAF493" s="106"/>
      <c r="PAG493" s="106"/>
      <c r="PAH493" s="106"/>
      <c r="PAI493" s="106"/>
      <c r="PAJ493" s="106"/>
      <c r="PAK493" s="106"/>
      <c r="PAL493" s="106"/>
      <c r="PAM493" s="106"/>
      <c r="PAN493" s="106"/>
      <c r="PAO493" s="106"/>
      <c r="PAP493" s="106"/>
      <c r="PAQ493" s="106"/>
      <c r="PAR493" s="106"/>
      <c r="PAS493" s="106"/>
      <c r="PAT493" s="106"/>
      <c r="PAU493" s="106"/>
      <c r="PAV493" s="106"/>
      <c r="PAW493" s="106"/>
      <c r="PAX493" s="106"/>
      <c r="PAY493" s="106"/>
      <c r="PAZ493" s="106"/>
      <c r="PBA493" s="106"/>
      <c r="PBB493" s="106"/>
      <c r="PBC493" s="106"/>
      <c r="PBD493" s="106"/>
      <c r="PBE493" s="106"/>
      <c r="PBF493" s="106"/>
      <c r="PBG493" s="106"/>
      <c r="PBH493" s="106"/>
      <c r="PBI493" s="106"/>
      <c r="PBJ493" s="106"/>
      <c r="PBK493" s="106"/>
      <c r="PBL493" s="106"/>
      <c r="PBM493" s="106"/>
      <c r="PBN493" s="106"/>
      <c r="PBO493" s="106"/>
      <c r="PBP493" s="106"/>
      <c r="PBQ493" s="106"/>
      <c r="PBR493" s="106"/>
      <c r="PBS493" s="106"/>
      <c r="PBT493" s="106"/>
      <c r="PBU493" s="106"/>
      <c r="PBV493" s="106"/>
      <c r="PBW493" s="106"/>
      <c r="PBX493" s="106"/>
      <c r="PBY493" s="106"/>
      <c r="PBZ493" s="106"/>
      <c r="PCA493" s="106"/>
      <c r="PCB493" s="106"/>
      <c r="PCC493" s="106"/>
      <c r="PCD493" s="106"/>
      <c r="PCE493" s="106"/>
      <c r="PCF493" s="106"/>
      <c r="PCG493" s="106"/>
      <c r="PCH493" s="106"/>
      <c r="PCI493" s="106"/>
      <c r="PCJ493" s="106"/>
      <c r="PCK493" s="106"/>
      <c r="PCL493" s="106"/>
      <c r="PCM493" s="106"/>
      <c r="PCN493" s="106"/>
      <c r="PCO493" s="106"/>
      <c r="PCP493" s="106"/>
      <c r="PCQ493" s="106"/>
      <c r="PCR493" s="106"/>
      <c r="PCS493" s="106"/>
      <c r="PCT493" s="106"/>
      <c r="PCU493" s="106"/>
      <c r="PCV493" s="106"/>
      <c r="PCW493" s="106"/>
      <c r="PCX493" s="106"/>
      <c r="PCY493" s="106"/>
      <c r="PCZ493" s="106"/>
      <c r="PDA493" s="106"/>
      <c r="PDB493" s="106"/>
      <c r="PDC493" s="106"/>
      <c r="PDD493" s="106"/>
      <c r="PDE493" s="106"/>
      <c r="PDF493" s="106"/>
      <c r="PDG493" s="106"/>
      <c r="PDH493" s="106"/>
      <c r="PDI493" s="106"/>
      <c r="PDJ493" s="106"/>
      <c r="PDK493" s="106"/>
      <c r="PDL493" s="106"/>
      <c r="PDM493" s="106"/>
      <c r="PDN493" s="106"/>
      <c r="PDO493" s="106"/>
      <c r="PDP493" s="106"/>
      <c r="PDQ493" s="106"/>
      <c r="PDR493" s="106"/>
      <c r="PDS493" s="106"/>
      <c r="PDT493" s="106"/>
      <c r="PDU493" s="106"/>
      <c r="PDV493" s="106"/>
      <c r="PDW493" s="106"/>
      <c r="PDX493" s="106"/>
      <c r="PDY493" s="106"/>
      <c r="PDZ493" s="106"/>
      <c r="PEA493" s="106"/>
      <c r="PEB493" s="106"/>
      <c r="PEC493" s="106"/>
      <c r="PED493" s="106"/>
      <c r="PEE493" s="106"/>
      <c r="PEF493" s="106"/>
      <c r="PEG493" s="106"/>
      <c r="PEH493" s="106"/>
      <c r="PEI493" s="106"/>
      <c r="PEJ493" s="106"/>
      <c r="PEK493" s="106"/>
      <c r="PEL493" s="106"/>
      <c r="PEM493" s="106"/>
      <c r="PEN493" s="106"/>
      <c r="PEO493" s="106"/>
      <c r="PEP493" s="106"/>
      <c r="PEQ493" s="106"/>
      <c r="PER493" s="106"/>
      <c r="PES493" s="106"/>
      <c r="PET493" s="106"/>
      <c r="PEU493" s="106"/>
      <c r="PEV493" s="106"/>
      <c r="PEW493" s="106"/>
      <c r="PEX493" s="106"/>
      <c r="PEY493" s="106"/>
      <c r="PEZ493" s="106"/>
      <c r="PFA493" s="106"/>
      <c r="PFB493" s="106"/>
      <c r="PFC493" s="106"/>
      <c r="PFD493" s="106"/>
      <c r="PFE493" s="106"/>
      <c r="PFF493" s="106"/>
      <c r="PFG493" s="106"/>
      <c r="PFH493" s="106"/>
      <c r="PFI493" s="106"/>
      <c r="PFJ493" s="106"/>
      <c r="PFK493" s="106"/>
      <c r="PFL493" s="106"/>
      <c r="PFM493" s="106"/>
      <c r="PFN493" s="106"/>
      <c r="PFO493" s="106"/>
      <c r="PFP493" s="106"/>
      <c r="PFQ493" s="106"/>
      <c r="PFR493" s="106"/>
      <c r="PFS493" s="106"/>
      <c r="PFT493" s="106"/>
      <c r="PFU493" s="106"/>
      <c r="PFV493" s="106"/>
      <c r="PFW493" s="106"/>
      <c r="PFX493" s="106"/>
      <c r="PFY493" s="106"/>
      <c r="PFZ493" s="106"/>
      <c r="PGA493" s="106"/>
      <c r="PGB493" s="106"/>
      <c r="PGC493" s="106"/>
      <c r="PGD493" s="106"/>
      <c r="PGE493" s="106"/>
      <c r="PGF493" s="106"/>
      <c r="PGG493" s="106"/>
      <c r="PGH493" s="106"/>
      <c r="PGI493" s="106"/>
      <c r="PGJ493" s="106"/>
      <c r="PGK493" s="106"/>
      <c r="PGL493" s="106"/>
      <c r="PGM493" s="106"/>
      <c r="PGN493" s="106"/>
      <c r="PGO493" s="106"/>
      <c r="PGP493" s="106"/>
      <c r="PGQ493" s="106"/>
      <c r="PGR493" s="106"/>
      <c r="PGS493" s="106"/>
      <c r="PGT493" s="106"/>
      <c r="PGU493" s="106"/>
      <c r="PGV493" s="106"/>
      <c r="PGW493" s="106"/>
      <c r="PGX493" s="106"/>
      <c r="PGY493" s="106"/>
      <c r="PGZ493" s="106"/>
      <c r="PHA493" s="106"/>
      <c r="PHB493" s="106"/>
      <c r="PHC493" s="106"/>
      <c r="PHD493" s="106"/>
      <c r="PHE493" s="106"/>
      <c r="PHF493" s="106"/>
      <c r="PHG493" s="106"/>
      <c r="PHH493" s="106"/>
      <c r="PHI493" s="106"/>
      <c r="PHJ493" s="106"/>
      <c r="PHK493" s="106"/>
      <c r="PHL493" s="106"/>
      <c r="PHM493" s="106"/>
      <c r="PHN493" s="106"/>
      <c r="PHO493" s="106"/>
      <c r="PHP493" s="106"/>
      <c r="PHQ493" s="106"/>
      <c r="PHR493" s="106"/>
      <c r="PHS493" s="106"/>
      <c r="PHT493" s="106"/>
      <c r="PHU493" s="106"/>
      <c r="PHV493" s="106"/>
      <c r="PHW493" s="106"/>
      <c r="PHX493" s="106"/>
      <c r="PHY493" s="106"/>
      <c r="PHZ493" s="106"/>
      <c r="PIA493" s="106"/>
      <c r="PIB493" s="106"/>
      <c r="PIC493" s="106"/>
      <c r="PID493" s="106"/>
      <c r="PIE493" s="106"/>
      <c r="PIF493" s="106"/>
      <c r="PIG493" s="106"/>
      <c r="PIH493" s="106"/>
      <c r="PII493" s="106"/>
      <c r="PIJ493" s="106"/>
      <c r="PIK493" s="106"/>
      <c r="PIL493" s="106"/>
      <c r="PIM493" s="106"/>
      <c r="PIN493" s="106"/>
      <c r="PIO493" s="106"/>
      <c r="PIP493" s="106"/>
      <c r="PIQ493" s="106"/>
      <c r="PIR493" s="106"/>
      <c r="PIS493" s="106"/>
      <c r="PIT493" s="106"/>
      <c r="PIU493" s="106"/>
      <c r="PIV493" s="106"/>
      <c r="PIW493" s="106"/>
      <c r="PIX493" s="106"/>
      <c r="PIY493" s="106"/>
      <c r="PIZ493" s="106"/>
      <c r="PJA493" s="106"/>
      <c r="PJB493" s="106"/>
      <c r="PJC493" s="106"/>
      <c r="PJD493" s="106"/>
      <c r="PJE493" s="106"/>
      <c r="PJF493" s="106"/>
      <c r="PJG493" s="106"/>
      <c r="PJH493" s="106"/>
      <c r="PJI493" s="106"/>
      <c r="PJJ493" s="106"/>
      <c r="PJK493" s="106"/>
      <c r="PJL493" s="106"/>
      <c r="PJM493" s="106"/>
      <c r="PJN493" s="106"/>
      <c r="PJO493" s="106"/>
      <c r="PJP493" s="106"/>
      <c r="PJQ493" s="106"/>
      <c r="PJR493" s="106"/>
      <c r="PJS493" s="106"/>
      <c r="PJT493" s="106"/>
      <c r="PJU493" s="106"/>
      <c r="PJV493" s="106"/>
      <c r="PJW493" s="106"/>
      <c r="PJX493" s="106"/>
      <c r="PJY493" s="106"/>
      <c r="PJZ493" s="106"/>
      <c r="PKA493" s="106"/>
      <c r="PKB493" s="106"/>
      <c r="PKC493" s="106"/>
      <c r="PKD493" s="106"/>
      <c r="PKE493" s="106"/>
      <c r="PKF493" s="106"/>
      <c r="PKG493" s="106"/>
      <c r="PKH493" s="106"/>
      <c r="PKI493" s="106"/>
      <c r="PKJ493" s="106"/>
      <c r="PKK493" s="106"/>
      <c r="PKL493" s="106"/>
      <c r="PKM493" s="106"/>
      <c r="PKN493" s="106"/>
      <c r="PKO493" s="106"/>
      <c r="PKP493" s="106"/>
      <c r="PKQ493" s="106"/>
      <c r="PKR493" s="106"/>
      <c r="PKS493" s="106"/>
      <c r="PKT493" s="106"/>
      <c r="PKU493" s="106"/>
      <c r="PKV493" s="106"/>
      <c r="PKW493" s="106"/>
      <c r="PKX493" s="106"/>
      <c r="PKY493" s="106"/>
      <c r="PKZ493" s="106"/>
      <c r="PLA493" s="106"/>
      <c r="PLB493" s="106"/>
      <c r="PLC493" s="106"/>
      <c r="PLD493" s="106"/>
      <c r="PLE493" s="106"/>
      <c r="PLF493" s="106"/>
      <c r="PLG493" s="106"/>
      <c r="PLH493" s="106"/>
      <c r="PLI493" s="106"/>
      <c r="PLJ493" s="106"/>
      <c r="PLK493" s="106"/>
      <c r="PLL493" s="106"/>
      <c r="PLM493" s="106"/>
      <c r="PLN493" s="106"/>
      <c r="PLO493" s="106"/>
      <c r="PLP493" s="106"/>
      <c r="PLQ493" s="106"/>
      <c r="PLR493" s="106"/>
      <c r="PLS493" s="106"/>
      <c r="PLT493" s="106"/>
      <c r="PLU493" s="106"/>
      <c r="PLV493" s="106"/>
      <c r="PLW493" s="106"/>
      <c r="PLX493" s="106"/>
      <c r="PLY493" s="106"/>
      <c r="PLZ493" s="106"/>
      <c r="PMA493" s="106"/>
      <c r="PMB493" s="106"/>
      <c r="PMC493" s="106"/>
      <c r="PMD493" s="106"/>
      <c r="PME493" s="106"/>
      <c r="PMF493" s="106"/>
      <c r="PMG493" s="106"/>
      <c r="PMH493" s="106"/>
      <c r="PMI493" s="106"/>
      <c r="PMJ493" s="106"/>
      <c r="PMK493" s="106"/>
      <c r="PML493" s="106"/>
      <c r="PMM493" s="106"/>
      <c r="PMN493" s="106"/>
      <c r="PMO493" s="106"/>
      <c r="PMP493" s="106"/>
      <c r="PMQ493" s="106"/>
      <c r="PMR493" s="106"/>
      <c r="PMS493" s="106"/>
      <c r="PMT493" s="106"/>
      <c r="PMU493" s="106"/>
      <c r="PMV493" s="106"/>
      <c r="PMW493" s="106"/>
      <c r="PMX493" s="106"/>
      <c r="PMY493" s="106"/>
      <c r="PMZ493" s="106"/>
      <c r="PNA493" s="106"/>
      <c r="PNB493" s="106"/>
      <c r="PNC493" s="106"/>
      <c r="PND493" s="106"/>
      <c r="PNE493" s="106"/>
      <c r="PNF493" s="106"/>
      <c r="PNG493" s="106"/>
      <c r="PNH493" s="106"/>
      <c r="PNI493" s="106"/>
      <c r="PNJ493" s="106"/>
      <c r="PNK493" s="106"/>
      <c r="PNL493" s="106"/>
      <c r="PNM493" s="106"/>
      <c r="PNN493" s="106"/>
      <c r="PNO493" s="106"/>
      <c r="PNP493" s="106"/>
      <c r="PNQ493" s="106"/>
      <c r="PNR493" s="106"/>
      <c r="PNS493" s="106"/>
      <c r="PNT493" s="106"/>
      <c r="PNU493" s="106"/>
      <c r="PNV493" s="106"/>
      <c r="PNW493" s="106"/>
      <c r="PNX493" s="106"/>
      <c r="PNY493" s="106"/>
      <c r="PNZ493" s="106"/>
      <c r="POA493" s="106"/>
      <c r="POB493" s="106"/>
      <c r="POC493" s="106"/>
      <c r="POD493" s="106"/>
      <c r="POE493" s="106"/>
      <c r="POF493" s="106"/>
      <c r="POG493" s="106"/>
      <c r="POH493" s="106"/>
      <c r="POI493" s="106"/>
      <c r="POJ493" s="106"/>
      <c r="POK493" s="106"/>
      <c r="POL493" s="106"/>
      <c r="POM493" s="106"/>
      <c r="PON493" s="106"/>
      <c r="POO493" s="106"/>
      <c r="POP493" s="106"/>
      <c r="POQ493" s="106"/>
      <c r="POR493" s="106"/>
      <c r="POS493" s="106"/>
      <c r="POT493" s="106"/>
      <c r="POU493" s="106"/>
      <c r="POV493" s="106"/>
      <c r="POW493" s="106"/>
      <c r="POX493" s="106"/>
      <c r="POY493" s="106"/>
      <c r="POZ493" s="106"/>
      <c r="PPA493" s="106"/>
      <c r="PPB493" s="106"/>
      <c r="PPC493" s="106"/>
      <c r="PPD493" s="106"/>
      <c r="PPE493" s="106"/>
      <c r="PPF493" s="106"/>
      <c r="PPG493" s="106"/>
      <c r="PPH493" s="106"/>
      <c r="PPI493" s="106"/>
      <c r="PPJ493" s="106"/>
      <c r="PPK493" s="106"/>
      <c r="PPL493" s="106"/>
      <c r="PPM493" s="106"/>
      <c r="PPN493" s="106"/>
      <c r="PPO493" s="106"/>
      <c r="PPP493" s="106"/>
      <c r="PPQ493" s="106"/>
      <c r="PPR493" s="106"/>
      <c r="PPS493" s="106"/>
      <c r="PPT493" s="106"/>
      <c r="PPU493" s="106"/>
      <c r="PPV493" s="106"/>
      <c r="PPW493" s="106"/>
      <c r="PPX493" s="106"/>
      <c r="PPY493" s="106"/>
      <c r="PPZ493" s="106"/>
      <c r="PQA493" s="106"/>
      <c r="PQB493" s="106"/>
      <c r="PQC493" s="106"/>
      <c r="PQD493" s="106"/>
      <c r="PQE493" s="106"/>
      <c r="PQF493" s="106"/>
      <c r="PQG493" s="106"/>
      <c r="PQH493" s="106"/>
      <c r="PQI493" s="106"/>
      <c r="PQJ493" s="106"/>
      <c r="PQK493" s="106"/>
      <c r="PQL493" s="106"/>
      <c r="PQM493" s="106"/>
      <c r="PQN493" s="106"/>
      <c r="PQO493" s="106"/>
      <c r="PQP493" s="106"/>
      <c r="PQQ493" s="106"/>
      <c r="PQR493" s="106"/>
      <c r="PQS493" s="106"/>
      <c r="PQT493" s="106"/>
      <c r="PQU493" s="106"/>
      <c r="PQV493" s="106"/>
      <c r="PQW493" s="106"/>
      <c r="PQX493" s="106"/>
      <c r="PQY493" s="106"/>
      <c r="PQZ493" s="106"/>
      <c r="PRA493" s="106"/>
      <c r="PRB493" s="106"/>
      <c r="PRC493" s="106"/>
      <c r="PRD493" s="106"/>
      <c r="PRE493" s="106"/>
      <c r="PRF493" s="106"/>
      <c r="PRG493" s="106"/>
      <c r="PRH493" s="106"/>
      <c r="PRI493" s="106"/>
      <c r="PRJ493" s="106"/>
      <c r="PRK493" s="106"/>
      <c r="PRL493" s="106"/>
      <c r="PRM493" s="106"/>
      <c r="PRN493" s="106"/>
      <c r="PRO493" s="106"/>
      <c r="PRP493" s="106"/>
      <c r="PRQ493" s="106"/>
      <c r="PRR493" s="106"/>
      <c r="PRS493" s="106"/>
      <c r="PRT493" s="106"/>
      <c r="PRU493" s="106"/>
      <c r="PRV493" s="106"/>
      <c r="PRW493" s="106"/>
      <c r="PRX493" s="106"/>
      <c r="PRY493" s="106"/>
      <c r="PRZ493" s="106"/>
      <c r="PSA493" s="106"/>
      <c r="PSB493" s="106"/>
      <c r="PSC493" s="106"/>
      <c r="PSD493" s="106"/>
      <c r="PSE493" s="106"/>
      <c r="PSF493" s="106"/>
      <c r="PSG493" s="106"/>
      <c r="PSH493" s="106"/>
      <c r="PSI493" s="106"/>
      <c r="PSJ493" s="106"/>
      <c r="PSK493" s="106"/>
      <c r="PSL493" s="106"/>
      <c r="PSM493" s="106"/>
      <c r="PSN493" s="106"/>
      <c r="PSO493" s="106"/>
      <c r="PSP493" s="106"/>
      <c r="PSQ493" s="106"/>
      <c r="PSR493" s="106"/>
      <c r="PSS493" s="106"/>
      <c r="PST493" s="106"/>
      <c r="PSU493" s="106"/>
      <c r="PSV493" s="106"/>
      <c r="PSW493" s="106"/>
      <c r="PSX493" s="106"/>
      <c r="PSY493" s="106"/>
      <c r="PSZ493" s="106"/>
      <c r="PTA493" s="106"/>
      <c r="PTB493" s="106"/>
      <c r="PTC493" s="106"/>
      <c r="PTD493" s="106"/>
      <c r="PTE493" s="106"/>
      <c r="PTF493" s="106"/>
      <c r="PTG493" s="106"/>
      <c r="PTH493" s="106"/>
      <c r="PTI493" s="106"/>
      <c r="PTJ493" s="106"/>
      <c r="PTK493" s="106"/>
      <c r="PTL493" s="106"/>
      <c r="PTM493" s="106"/>
      <c r="PTN493" s="106"/>
      <c r="PTO493" s="106"/>
      <c r="PTP493" s="106"/>
      <c r="PTQ493" s="106"/>
      <c r="PTR493" s="106"/>
      <c r="PTS493" s="106"/>
      <c r="PTT493" s="106"/>
      <c r="PTU493" s="106"/>
      <c r="PTV493" s="106"/>
      <c r="PTW493" s="106"/>
      <c r="PTX493" s="106"/>
      <c r="PTY493" s="106"/>
      <c r="PTZ493" s="106"/>
      <c r="PUA493" s="106"/>
      <c r="PUB493" s="106"/>
      <c r="PUC493" s="106"/>
      <c r="PUD493" s="106"/>
      <c r="PUE493" s="106"/>
      <c r="PUF493" s="106"/>
      <c r="PUG493" s="106"/>
      <c r="PUH493" s="106"/>
      <c r="PUI493" s="106"/>
      <c r="PUJ493" s="106"/>
      <c r="PUK493" s="106"/>
      <c r="PUL493" s="106"/>
      <c r="PUM493" s="106"/>
      <c r="PUN493" s="106"/>
      <c r="PUO493" s="106"/>
      <c r="PUP493" s="106"/>
      <c r="PUQ493" s="106"/>
      <c r="PUR493" s="106"/>
      <c r="PUS493" s="106"/>
      <c r="PUT493" s="106"/>
      <c r="PUU493" s="106"/>
      <c r="PUV493" s="106"/>
      <c r="PUW493" s="106"/>
      <c r="PUX493" s="106"/>
      <c r="PUY493" s="106"/>
      <c r="PUZ493" s="106"/>
      <c r="PVA493" s="106"/>
      <c r="PVB493" s="106"/>
      <c r="PVC493" s="106"/>
      <c r="PVD493" s="106"/>
      <c r="PVE493" s="106"/>
      <c r="PVF493" s="106"/>
      <c r="PVG493" s="106"/>
      <c r="PVH493" s="106"/>
      <c r="PVI493" s="106"/>
      <c r="PVJ493" s="106"/>
      <c r="PVK493" s="106"/>
      <c r="PVL493" s="106"/>
      <c r="PVM493" s="106"/>
      <c r="PVN493" s="106"/>
      <c r="PVO493" s="106"/>
      <c r="PVP493" s="106"/>
      <c r="PVQ493" s="106"/>
      <c r="PVR493" s="106"/>
      <c r="PVS493" s="106"/>
      <c r="PVT493" s="106"/>
      <c r="PVU493" s="106"/>
      <c r="PVV493" s="106"/>
      <c r="PVW493" s="106"/>
      <c r="PVX493" s="106"/>
      <c r="PVY493" s="106"/>
      <c r="PVZ493" s="106"/>
      <c r="PWA493" s="106"/>
      <c r="PWB493" s="106"/>
      <c r="PWC493" s="106"/>
      <c r="PWD493" s="106"/>
      <c r="PWE493" s="106"/>
      <c r="PWF493" s="106"/>
      <c r="PWG493" s="106"/>
      <c r="PWH493" s="106"/>
      <c r="PWI493" s="106"/>
      <c r="PWJ493" s="106"/>
      <c r="PWK493" s="106"/>
      <c r="PWL493" s="106"/>
      <c r="PWM493" s="106"/>
      <c r="PWN493" s="106"/>
      <c r="PWO493" s="106"/>
      <c r="PWP493" s="106"/>
      <c r="PWQ493" s="106"/>
      <c r="PWR493" s="106"/>
      <c r="PWS493" s="106"/>
      <c r="PWT493" s="106"/>
      <c r="PWU493" s="106"/>
      <c r="PWV493" s="106"/>
      <c r="PWW493" s="106"/>
      <c r="PWX493" s="106"/>
      <c r="PWY493" s="106"/>
      <c r="PWZ493" s="106"/>
      <c r="PXA493" s="106"/>
      <c r="PXB493" s="106"/>
      <c r="PXC493" s="106"/>
      <c r="PXD493" s="106"/>
      <c r="PXE493" s="106"/>
      <c r="PXF493" s="106"/>
      <c r="PXG493" s="106"/>
      <c r="PXH493" s="106"/>
      <c r="PXI493" s="106"/>
      <c r="PXJ493" s="106"/>
      <c r="PXK493" s="106"/>
      <c r="PXL493" s="106"/>
      <c r="PXM493" s="106"/>
      <c r="PXN493" s="106"/>
      <c r="PXO493" s="106"/>
      <c r="PXP493" s="106"/>
      <c r="PXQ493" s="106"/>
      <c r="PXR493" s="106"/>
      <c r="PXS493" s="106"/>
      <c r="PXT493" s="106"/>
      <c r="PXU493" s="106"/>
      <c r="PXV493" s="106"/>
      <c r="PXW493" s="106"/>
      <c r="PXX493" s="106"/>
      <c r="PXY493" s="106"/>
      <c r="PXZ493" s="106"/>
      <c r="PYA493" s="106"/>
      <c r="PYB493" s="106"/>
      <c r="PYC493" s="106"/>
      <c r="PYD493" s="106"/>
      <c r="PYE493" s="106"/>
      <c r="PYF493" s="106"/>
      <c r="PYG493" s="106"/>
      <c r="PYH493" s="106"/>
      <c r="PYI493" s="106"/>
      <c r="PYJ493" s="106"/>
      <c r="PYK493" s="106"/>
      <c r="PYL493" s="106"/>
      <c r="PYM493" s="106"/>
      <c r="PYN493" s="106"/>
      <c r="PYO493" s="106"/>
      <c r="PYP493" s="106"/>
      <c r="PYQ493" s="106"/>
      <c r="PYR493" s="106"/>
      <c r="PYS493" s="106"/>
      <c r="PYT493" s="106"/>
      <c r="PYU493" s="106"/>
      <c r="PYV493" s="106"/>
      <c r="PYW493" s="106"/>
      <c r="PYX493" s="106"/>
      <c r="PYY493" s="106"/>
      <c r="PYZ493" s="106"/>
      <c r="PZA493" s="106"/>
      <c r="PZB493" s="106"/>
      <c r="PZC493" s="106"/>
      <c r="PZD493" s="106"/>
      <c r="PZE493" s="106"/>
      <c r="PZF493" s="106"/>
      <c r="PZG493" s="106"/>
      <c r="PZH493" s="106"/>
      <c r="PZI493" s="106"/>
      <c r="PZJ493" s="106"/>
      <c r="PZK493" s="106"/>
      <c r="PZL493" s="106"/>
      <c r="PZM493" s="106"/>
      <c r="PZN493" s="106"/>
      <c r="PZO493" s="106"/>
      <c r="PZP493" s="106"/>
      <c r="PZQ493" s="106"/>
      <c r="PZR493" s="106"/>
      <c r="PZS493" s="106"/>
      <c r="PZT493" s="106"/>
      <c r="PZU493" s="106"/>
      <c r="PZV493" s="106"/>
      <c r="PZW493" s="106"/>
      <c r="PZX493" s="106"/>
      <c r="PZY493" s="106"/>
      <c r="PZZ493" s="106"/>
      <c r="QAA493" s="106"/>
      <c r="QAB493" s="106"/>
      <c r="QAC493" s="106"/>
      <c r="QAD493" s="106"/>
      <c r="QAE493" s="106"/>
      <c r="QAF493" s="106"/>
      <c r="QAG493" s="106"/>
      <c r="QAH493" s="106"/>
      <c r="QAI493" s="106"/>
      <c r="QAJ493" s="106"/>
      <c r="QAK493" s="106"/>
      <c r="QAL493" s="106"/>
      <c r="QAM493" s="106"/>
      <c r="QAN493" s="106"/>
      <c r="QAO493" s="106"/>
      <c r="QAP493" s="106"/>
      <c r="QAQ493" s="106"/>
      <c r="QAR493" s="106"/>
      <c r="QAS493" s="106"/>
      <c r="QAT493" s="106"/>
      <c r="QAU493" s="106"/>
      <c r="QAV493" s="106"/>
      <c r="QAW493" s="106"/>
      <c r="QAX493" s="106"/>
      <c r="QAY493" s="106"/>
      <c r="QAZ493" s="106"/>
      <c r="QBA493" s="106"/>
      <c r="QBB493" s="106"/>
      <c r="QBC493" s="106"/>
      <c r="QBD493" s="106"/>
      <c r="QBE493" s="106"/>
      <c r="QBF493" s="106"/>
      <c r="QBG493" s="106"/>
      <c r="QBH493" s="106"/>
      <c r="QBI493" s="106"/>
      <c r="QBJ493" s="106"/>
      <c r="QBK493" s="106"/>
      <c r="QBL493" s="106"/>
      <c r="QBM493" s="106"/>
      <c r="QBN493" s="106"/>
      <c r="QBO493" s="106"/>
      <c r="QBP493" s="106"/>
      <c r="QBQ493" s="106"/>
      <c r="QBR493" s="106"/>
      <c r="QBS493" s="106"/>
      <c r="QBT493" s="106"/>
      <c r="QBU493" s="106"/>
      <c r="QBV493" s="106"/>
      <c r="QBW493" s="106"/>
      <c r="QBX493" s="106"/>
      <c r="QBY493" s="106"/>
      <c r="QBZ493" s="106"/>
      <c r="QCA493" s="106"/>
      <c r="QCB493" s="106"/>
      <c r="QCC493" s="106"/>
      <c r="QCD493" s="106"/>
      <c r="QCE493" s="106"/>
      <c r="QCF493" s="106"/>
      <c r="QCG493" s="106"/>
      <c r="QCH493" s="106"/>
      <c r="QCI493" s="106"/>
      <c r="QCJ493" s="106"/>
      <c r="QCK493" s="106"/>
      <c r="QCL493" s="106"/>
      <c r="QCM493" s="106"/>
      <c r="QCN493" s="106"/>
      <c r="QCO493" s="106"/>
      <c r="QCP493" s="106"/>
      <c r="QCQ493" s="106"/>
      <c r="QCR493" s="106"/>
      <c r="QCS493" s="106"/>
      <c r="QCT493" s="106"/>
      <c r="QCU493" s="106"/>
      <c r="QCV493" s="106"/>
      <c r="QCW493" s="106"/>
      <c r="QCX493" s="106"/>
      <c r="QCY493" s="106"/>
      <c r="QCZ493" s="106"/>
      <c r="QDA493" s="106"/>
      <c r="QDB493" s="106"/>
      <c r="QDC493" s="106"/>
      <c r="QDD493" s="106"/>
      <c r="QDE493" s="106"/>
      <c r="QDF493" s="106"/>
      <c r="QDG493" s="106"/>
      <c r="QDH493" s="106"/>
      <c r="QDI493" s="106"/>
      <c r="QDJ493" s="106"/>
      <c r="QDK493" s="106"/>
      <c r="QDL493" s="106"/>
      <c r="QDM493" s="106"/>
      <c r="QDN493" s="106"/>
      <c r="QDO493" s="106"/>
      <c r="QDP493" s="106"/>
      <c r="QDQ493" s="106"/>
      <c r="QDR493" s="106"/>
      <c r="QDS493" s="106"/>
      <c r="QDT493" s="106"/>
      <c r="QDU493" s="106"/>
      <c r="QDV493" s="106"/>
      <c r="QDW493" s="106"/>
      <c r="QDX493" s="106"/>
      <c r="QDY493" s="106"/>
      <c r="QDZ493" s="106"/>
      <c r="QEA493" s="106"/>
      <c r="QEB493" s="106"/>
      <c r="QEC493" s="106"/>
      <c r="QED493" s="106"/>
      <c r="QEE493" s="106"/>
      <c r="QEF493" s="106"/>
      <c r="QEG493" s="106"/>
      <c r="QEH493" s="106"/>
      <c r="QEI493" s="106"/>
      <c r="QEJ493" s="106"/>
      <c r="QEK493" s="106"/>
      <c r="QEL493" s="106"/>
      <c r="QEM493" s="106"/>
      <c r="QEN493" s="106"/>
      <c r="QEO493" s="106"/>
      <c r="QEP493" s="106"/>
      <c r="QEQ493" s="106"/>
      <c r="QER493" s="106"/>
      <c r="QES493" s="106"/>
      <c r="QET493" s="106"/>
      <c r="QEU493" s="106"/>
      <c r="QEV493" s="106"/>
      <c r="QEW493" s="106"/>
      <c r="QEX493" s="106"/>
      <c r="QEY493" s="106"/>
      <c r="QEZ493" s="106"/>
      <c r="QFA493" s="106"/>
      <c r="QFB493" s="106"/>
      <c r="QFC493" s="106"/>
      <c r="QFD493" s="106"/>
      <c r="QFE493" s="106"/>
      <c r="QFF493" s="106"/>
      <c r="QFG493" s="106"/>
      <c r="QFH493" s="106"/>
      <c r="QFI493" s="106"/>
      <c r="QFJ493" s="106"/>
      <c r="QFK493" s="106"/>
      <c r="QFL493" s="106"/>
      <c r="QFM493" s="106"/>
      <c r="QFN493" s="106"/>
      <c r="QFO493" s="106"/>
      <c r="QFP493" s="106"/>
      <c r="QFQ493" s="106"/>
      <c r="QFR493" s="106"/>
      <c r="QFS493" s="106"/>
      <c r="QFT493" s="106"/>
      <c r="QFU493" s="106"/>
      <c r="QFV493" s="106"/>
      <c r="QFW493" s="106"/>
      <c r="QFX493" s="106"/>
      <c r="QFY493" s="106"/>
      <c r="QFZ493" s="106"/>
      <c r="QGA493" s="106"/>
      <c r="QGB493" s="106"/>
      <c r="QGC493" s="106"/>
      <c r="QGD493" s="106"/>
      <c r="QGE493" s="106"/>
      <c r="QGF493" s="106"/>
      <c r="QGG493" s="106"/>
      <c r="QGH493" s="106"/>
      <c r="QGI493" s="106"/>
      <c r="QGJ493" s="106"/>
      <c r="QGK493" s="106"/>
      <c r="QGL493" s="106"/>
      <c r="QGM493" s="106"/>
      <c r="QGN493" s="106"/>
      <c r="QGO493" s="106"/>
      <c r="QGP493" s="106"/>
      <c r="QGQ493" s="106"/>
      <c r="QGR493" s="106"/>
      <c r="QGS493" s="106"/>
      <c r="QGT493" s="106"/>
      <c r="QGU493" s="106"/>
      <c r="QGV493" s="106"/>
      <c r="QGW493" s="106"/>
      <c r="QGX493" s="106"/>
      <c r="QGY493" s="106"/>
      <c r="QGZ493" s="106"/>
      <c r="QHA493" s="106"/>
      <c r="QHB493" s="106"/>
      <c r="QHC493" s="106"/>
      <c r="QHD493" s="106"/>
      <c r="QHE493" s="106"/>
      <c r="QHF493" s="106"/>
      <c r="QHG493" s="106"/>
      <c r="QHH493" s="106"/>
      <c r="QHI493" s="106"/>
      <c r="QHJ493" s="106"/>
      <c r="QHK493" s="106"/>
      <c r="QHL493" s="106"/>
      <c r="QHM493" s="106"/>
      <c r="QHN493" s="106"/>
      <c r="QHO493" s="106"/>
      <c r="QHP493" s="106"/>
      <c r="QHQ493" s="106"/>
      <c r="QHR493" s="106"/>
      <c r="QHS493" s="106"/>
      <c r="QHT493" s="106"/>
      <c r="QHU493" s="106"/>
      <c r="QHV493" s="106"/>
      <c r="QHW493" s="106"/>
      <c r="QHX493" s="106"/>
      <c r="QHY493" s="106"/>
      <c r="QHZ493" s="106"/>
      <c r="QIA493" s="106"/>
      <c r="QIB493" s="106"/>
      <c r="QIC493" s="106"/>
      <c r="QID493" s="106"/>
      <c r="QIE493" s="106"/>
      <c r="QIF493" s="106"/>
      <c r="QIG493" s="106"/>
      <c r="QIH493" s="106"/>
      <c r="QII493" s="106"/>
      <c r="QIJ493" s="106"/>
      <c r="QIK493" s="106"/>
      <c r="QIL493" s="106"/>
      <c r="QIM493" s="106"/>
      <c r="QIN493" s="106"/>
      <c r="QIO493" s="106"/>
      <c r="QIP493" s="106"/>
      <c r="QIQ493" s="106"/>
      <c r="QIR493" s="106"/>
      <c r="QIS493" s="106"/>
      <c r="QIT493" s="106"/>
      <c r="QIU493" s="106"/>
      <c r="QIV493" s="106"/>
      <c r="QIW493" s="106"/>
      <c r="QIX493" s="106"/>
      <c r="QIY493" s="106"/>
      <c r="QIZ493" s="106"/>
      <c r="QJA493" s="106"/>
      <c r="QJB493" s="106"/>
      <c r="QJC493" s="106"/>
      <c r="QJD493" s="106"/>
      <c r="QJE493" s="106"/>
      <c r="QJF493" s="106"/>
      <c r="QJG493" s="106"/>
      <c r="QJH493" s="106"/>
      <c r="QJI493" s="106"/>
      <c r="QJJ493" s="106"/>
      <c r="QJK493" s="106"/>
      <c r="QJL493" s="106"/>
      <c r="QJM493" s="106"/>
      <c r="QJN493" s="106"/>
      <c r="QJO493" s="106"/>
      <c r="QJP493" s="106"/>
      <c r="QJQ493" s="106"/>
      <c r="QJR493" s="106"/>
      <c r="QJS493" s="106"/>
      <c r="QJT493" s="106"/>
      <c r="QJU493" s="106"/>
      <c r="QJV493" s="106"/>
      <c r="QJW493" s="106"/>
      <c r="QJX493" s="106"/>
      <c r="QJY493" s="106"/>
      <c r="QJZ493" s="106"/>
      <c r="QKA493" s="106"/>
      <c r="QKB493" s="106"/>
      <c r="QKC493" s="106"/>
      <c r="QKD493" s="106"/>
      <c r="QKE493" s="106"/>
      <c r="QKF493" s="106"/>
      <c r="QKG493" s="106"/>
      <c r="QKH493" s="106"/>
      <c r="QKI493" s="106"/>
      <c r="QKJ493" s="106"/>
      <c r="QKK493" s="106"/>
      <c r="QKL493" s="106"/>
      <c r="QKM493" s="106"/>
      <c r="QKN493" s="106"/>
      <c r="QKO493" s="106"/>
      <c r="QKP493" s="106"/>
      <c r="QKQ493" s="106"/>
      <c r="QKR493" s="106"/>
      <c r="QKS493" s="106"/>
      <c r="QKT493" s="106"/>
      <c r="QKU493" s="106"/>
      <c r="QKV493" s="106"/>
      <c r="QKW493" s="106"/>
      <c r="QKX493" s="106"/>
      <c r="QKY493" s="106"/>
      <c r="QKZ493" s="106"/>
      <c r="QLA493" s="106"/>
      <c r="QLB493" s="106"/>
      <c r="QLC493" s="106"/>
      <c r="QLD493" s="106"/>
      <c r="QLE493" s="106"/>
      <c r="QLF493" s="106"/>
      <c r="QLG493" s="106"/>
      <c r="QLH493" s="106"/>
      <c r="QLI493" s="106"/>
      <c r="QLJ493" s="106"/>
      <c r="QLK493" s="106"/>
      <c r="QLL493" s="106"/>
      <c r="QLM493" s="106"/>
      <c r="QLN493" s="106"/>
      <c r="QLO493" s="106"/>
      <c r="QLP493" s="106"/>
      <c r="QLQ493" s="106"/>
      <c r="QLR493" s="106"/>
      <c r="QLS493" s="106"/>
      <c r="QLT493" s="106"/>
      <c r="QLU493" s="106"/>
      <c r="QLV493" s="106"/>
      <c r="QLW493" s="106"/>
      <c r="QLX493" s="106"/>
      <c r="QLY493" s="106"/>
      <c r="QLZ493" s="106"/>
      <c r="QMA493" s="106"/>
      <c r="QMB493" s="106"/>
      <c r="QMC493" s="106"/>
      <c r="QMD493" s="106"/>
      <c r="QME493" s="106"/>
      <c r="QMF493" s="106"/>
      <c r="QMG493" s="106"/>
      <c r="QMH493" s="106"/>
      <c r="QMI493" s="106"/>
      <c r="QMJ493" s="106"/>
      <c r="QMK493" s="106"/>
      <c r="QML493" s="106"/>
      <c r="QMM493" s="106"/>
      <c r="QMN493" s="106"/>
      <c r="QMO493" s="106"/>
      <c r="QMP493" s="106"/>
      <c r="QMQ493" s="106"/>
      <c r="QMR493" s="106"/>
      <c r="QMS493" s="106"/>
      <c r="QMT493" s="106"/>
      <c r="QMU493" s="106"/>
      <c r="QMV493" s="106"/>
      <c r="QMW493" s="106"/>
      <c r="QMX493" s="106"/>
      <c r="QMY493" s="106"/>
      <c r="QMZ493" s="106"/>
      <c r="QNA493" s="106"/>
      <c r="QNB493" s="106"/>
      <c r="QNC493" s="106"/>
      <c r="QND493" s="106"/>
      <c r="QNE493" s="106"/>
      <c r="QNF493" s="106"/>
      <c r="QNG493" s="106"/>
      <c r="QNH493" s="106"/>
      <c r="QNI493" s="106"/>
      <c r="QNJ493" s="106"/>
      <c r="QNK493" s="106"/>
      <c r="QNL493" s="106"/>
      <c r="QNM493" s="106"/>
      <c r="QNN493" s="106"/>
      <c r="QNO493" s="106"/>
      <c r="QNP493" s="106"/>
      <c r="QNQ493" s="106"/>
      <c r="QNR493" s="106"/>
      <c r="QNS493" s="106"/>
      <c r="QNT493" s="106"/>
      <c r="QNU493" s="106"/>
      <c r="QNV493" s="106"/>
      <c r="QNW493" s="106"/>
      <c r="QNX493" s="106"/>
      <c r="QNY493" s="106"/>
      <c r="QNZ493" s="106"/>
      <c r="QOA493" s="106"/>
      <c r="QOB493" s="106"/>
      <c r="QOC493" s="106"/>
      <c r="QOD493" s="106"/>
      <c r="QOE493" s="106"/>
      <c r="QOF493" s="106"/>
      <c r="QOG493" s="106"/>
      <c r="QOH493" s="106"/>
      <c r="QOI493" s="106"/>
      <c r="QOJ493" s="106"/>
      <c r="QOK493" s="106"/>
      <c r="QOL493" s="106"/>
      <c r="QOM493" s="106"/>
      <c r="QON493" s="106"/>
      <c r="QOO493" s="106"/>
      <c r="QOP493" s="106"/>
      <c r="QOQ493" s="106"/>
      <c r="QOR493" s="106"/>
      <c r="QOS493" s="106"/>
      <c r="QOT493" s="106"/>
      <c r="QOU493" s="106"/>
      <c r="QOV493" s="106"/>
      <c r="QOW493" s="106"/>
      <c r="QOX493" s="106"/>
      <c r="QOY493" s="106"/>
      <c r="QOZ493" s="106"/>
      <c r="QPA493" s="106"/>
      <c r="QPB493" s="106"/>
      <c r="QPC493" s="106"/>
      <c r="QPD493" s="106"/>
      <c r="QPE493" s="106"/>
      <c r="QPF493" s="106"/>
      <c r="QPG493" s="106"/>
      <c r="QPH493" s="106"/>
      <c r="QPI493" s="106"/>
      <c r="QPJ493" s="106"/>
      <c r="QPK493" s="106"/>
      <c r="QPL493" s="106"/>
      <c r="QPM493" s="106"/>
      <c r="QPN493" s="106"/>
      <c r="QPO493" s="106"/>
      <c r="QPP493" s="106"/>
      <c r="QPQ493" s="106"/>
      <c r="QPR493" s="106"/>
      <c r="QPS493" s="106"/>
      <c r="QPT493" s="106"/>
      <c r="QPU493" s="106"/>
      <c r="QPV493" s="106"/>
      <c r="QPW493" s="106"/>
      <c r="QPX493" s="106"/>
      <c r="QPY493" s="106"/>
      <c r="QPZ493" s="106"/>
      <c r="QQA493" s="106"/>
      <c r="QQB493" s="106"/>
      <c r="QQC493" s="106"/>
      <c r="QQD493" s="106"/>
      <c r="QQE493" s="106"/>
      <c r="QQF493" s="106"/>
      <c r="QQG493" s="106"/>
      <c r="QQH493" s="106"/>
      <c r="QQI493" s="106"/>
      <c r="QQJ493" s="106"/>
      <c r="QQK493" s="106"/>
      <c r="QQL493" s="106"/>
      <c r="QQM493" s="106"/>
      <c r="QQN493" s="106"/>
      <c r="QQO493" s="106"/>
      <c r="QQP493" s="106"/>
      <c r="QQQ493" s="106"/>
      <c r="QQR493" s="106"/>
      <c r="QQS493" s="106"/>
      <c r="QQT493" s="106"/>
      <c r="QQU493" s="106"/>
      <c r="QQV493" s="106"/>
      <c r="QQW493" s="106"/>
      <c r="QQX493" s="106"/>
      <c r="QQY493" s="106"/>
      <c r="QQZ493" s="106"/>
      <c r="QRA493" s="106"/>
      <c r="QRB493" s="106"/>
      <c r="QRC493" s="106"/>
      <c r="QRD493" s="106"/>
      <c r="QRE493" s="106"/>
      <c r="QRF493" s="106"/>
      <c r="QRG493" s="106"/>
      <c r="QRH493" s="106"/>
      <c r="QRI493" s="106"/>
      <c r="QRJ493" s="106"/>
      <c r="QRK493" s="106"/>
      <c r="QRL493" s="106"/>
      <c r="QRM493" s="106"/>
      <c r="QRN493" s="106"/>
      <c r="QRO493" s="106"/>
      <c r="QRP493" s="106"/>
      <c r="QRQ493" s="106"/>
      <c r="QRR493" s="106"/>
      <c r="QRS493" s="106"/>
      <c r="QRT493" s="106"/>
      <c r="QRU493" s="106"/>
      <c r="QRV493" s="106"/>
      <c r="QRW493" s="106"/>
      <c r="QRX493" s="106"/>
      <c r="QRY493" s="106"/>
      <c r="QRZ493" s="106"/>
      <c r="QSA493" s="106"/>
      <c r="QSB493" s="106"/>
      <c r="QSC493" s="106"/>
      <c r="QSD493" s="106"/>
      <c r="QSE493" s="106"/>
      <c r="QSF493" s="106"/>
      <c r="QSG493" s="106"/>
      <c r="QSH493" s="106"/>
      <c r="QSI493" s="106"/>
      <c r="QSJ493" s="106"/>
      <c r="QSK493" s="106"/>
      <c r="QSL493" s="106"/>
      <c r="QSM493" s="106"/>
      <c r="QSN493" s="106"/>
      <c r="QSO493" s="106"/>
      <c r="QSP493" s="106"/>
      <c r="QSQ493" s="106"/>
      <c r="QSR493" s="106"/>
      <c r="QSS493" s="106"/>
      <c r="QST493" s="106"/>
      <c r="QSU493" s="106"/>
      <c r="QSV493" s="106"/>
      <c r="QSW493" s="106"/>
      <c r="QSX493" s="106"/>
      <c r="QSY493" s="106"/>
      <c r="QSZ493" s="106"/>
      <c r="QTA493" s="106"/>
      <c r="QTB493" s="106"/>
      <c r="QTC493" s="106"/>
      <c r="QTD493" s="106"/>
      <c r="QTE493" s="106"/>
      <c r="QTF493" s="106"/>
      <c r="QTG493" s="106"/>
      <c r="QTH493" s="106"/>
      <c r="QTI493" s="106"/>
      <c r="QTJ493" s="106"/>
      <c r="QTK493" s="106"/>
      <c r="QTL493" s="106"/>
      <c r="QTM493" s="106"/>
      <c r="QTN493" s="106"/>
      <c r="QTO493" s="106"/>
      <c r="QTP493" s="106"/>
      <c r="QTQ493" s="106"/>
      <c r="QTR493" s="106"/>
      <c r="QTS493" s="106"/>
      <c r="QTT493" s="106"/>
      <c r="QTU493" s="106"/>
      <c r="QTV493" s="106"/>
      <c r="QTW493" s="106"/>
      <c r="QTX493" s="106"/>
      <c r="QTY493" s="106"/>
      <c r="QTZ493" s="106"/>
      <c r="QUA493" s="106"/>
      <c r="QUB493" s="106"/>
      <c r="QUC493" s="106"/>
      <c r="QUD493" s="106"/>
      <c r="QUE493" s="106"/>
      <c r="QUF493" s="106"/>
      <c r="QUG493" s="106"/>
      <c r="QUH493" s="106"/>
      <c r="QUI493" s="106"/>
      <c r="QUJ493" s="106"/>
      <c r="QUK493" s="106"/>
      <c r="QUL493" s="106"/>
      <c r="QUM493" s="106"/>
      <c r="QUN493" s="106"/>
      <c r="QUO493" s="106"/>
      <c r="QUP493" s="106"/>
      <c r="QUQ493" s="106"/>
      <c r="QUR493" s="106"/>
      <c r="QUS493" s="106"/>
      <c r="QUT493" s="106"/>
      <c r="QUU493" s="106"/>
      <c r="QUV493" s="106"/>
      <c r="QUW493" s="106"/>
      <c r="QUX493" s="106"/>
      <c r="QUY493" s="106"/>
      <c r="QUZ493" s="106"/>
      <c r="QVA493" s="106"/>
      <c r="QVB493" s="106"/>
      <c r="QVC493" s="106"/>
      <c r="QVD493" s="106"/>
      <c r="QVE493" s="106"/>
      <c r="QVF493" s="106"/>
      <c r="QVG493" s="106"/>
      <c r="QVH493" s="106"/>
      <c r="QVI493" s="106"/>
      <c r="QVJ493" s="106"/>
      <c r="QVK493" s="106"/>
      <c r="QVL493" s="106"/>
      <c r="QVM493" s="106"/>
      <c r="QVN493" s="106"/>
      <c r="QVO493" s="106"/>
      <c r="QVP493" s="106"/>
      <c r="QVQ493" s="106"/>
      <c r="QVR493" s="106"/>
      <c r="QVS493" s="106"/>
      <c r="QVT493" s="106"/>
      <c r="QVU493" s="106"/>
      <c r="QVV493" s="106"/>
      <c r="QVW493" s="106"/>
      <c r="QVX493" s="106"/>
      <c r="QVY493" s="106"/>
      <c r="QVZ493" s="106"/>
      <c r="QWA493" s="106"/>
      <c r="QWB493" s="106"/>
      <c r="QWC493" s="106"/>
      <c r="QWD493" s="106"/>
      <c r="QWE493" s="106"/>
      <c r="QWF493" s="106"/>
      <c r="QWG493" s="106"/>
      <c r="QWH493" s="106"/>
      <c r="QWI493" s="106"/>
      <c r="QWJ493" s="106"/>
      <c r="QWK493" s="106"/>
      <c r="QWL493" s="106"/>
      <c r="QWM493" s="106"/>
      <c r="QWN493" s="106"/>
      <c r="QWO493" s="106"/>
      <c r="QWP493" s="106"/>
      <c r="QWQ493" s="106"/>
      <c r="QWR493" s="106"/>
      <c r="QWS493" s="106"/>
      <c r="QWT493" s="106"/>
      <c r="QWU493" s="106"/>
      <c r="QWV493" s="106"/>
      <c r="QWW493" s="106"/>
      <c r="QWX493" s="106"/>
      <c r="QWY493" s="106"/>
      <c r="QWZ493" s="106"/>
      <c r="QXA493" s="106"/>
      <c r="QXB493" s="106"/>
      <c r="QXC493" s="106"/>
      <c r="QXD493" s="106"/>
      <c r="QXE493" s="106"/>
      <c r="QXF493" s="106"/>
      <c r="QXG493" s="106"/>
      <c r="QXH493" s="106"/>
      <c r="QXI493" s="106"/>
      <c r="QXJ493" s="106"/>
      <c r="QXK493" s="106"/>
      <c r="QXL493" s="106"/>
      <c r="QXM493" s="106"/>
      <c r="QXN493" s="106"/>
      <c r="QXO493" s="106"/>
      <c r="QXP493" s="106"/>
      <c r="QXQ493" s="106"/>
      <c r="QXR493" s="106"/>
      <c r="QXS493" s="106"/>
      <c r="QXT493" s="106"/>
      <c r="QXU493" s="106"/>
      <c r="QXV493" s="106"/>
      <c r="QXW493" s="106"/>
      <c r="QXX493" s="106"/>
      <c r="QXY493" s="106"/>
      <c r="QXZ493" s="106"/>
      <c r="QYA493" s="106"/>
      <c r="QYB493" s="106"/>
      <c r="QYC493" s="106"/>
      <c r="QYD493" s="106"/>
      <c r="QYE493" s="106"/>
      <c r="QYF493" s="106"/>
      <c r="QYG493" s="106"/>
      <c r="QYH493" s="106"/>
      <c r="QYI493" s="106"/>
      <c r="QYJ493" s="106"/>
      <c r="QYK493" s="106"/>
      <c r="QYL493" s="106"/>
      <c r="QYM493" s="106"/>
      <c r="QYN493" s="106"/>
      <c r="QYO493" s="106"/>
      <c r="QYP493" s="106"/>
      <c r="QYQ493" s="106"/>
      <c r="QYR493" s="106"/>
      <c r="QYS493" s="106"/>
      <c r="QYT493" s="106"/>
      <c r="QYU493" s="106"/>
      <c r="QYV493" s="106"/>
      <c r="QYW493" s="106"/>
      <c r="QYX493" s="106"/>
      <c r="QYY493" s="106"/>
      <c r="QYZ493" s="106"/>
      <c r="QZA493" s="106"/>
      <c r="QZB493" s="106"/>
      <c r="QZC493" s="106"/>
      <c r="QZD493" s="106"/>
      <c r="QZE493" s="106"/>
      <c r="QZF493" s="106"/>
      <c r="QZG493" s="106"/>
      <c r="QZH493" s="106"/>
      <c r="QZI493" s="106"/>
      <c r="QZJ493" s="106"/>
      <c r="QZK493" s="106"/>
      <c r="QZL493" s="106"/>
      <c r="QZM493" s="106"/>
      <c r="QZN493" s="106"/>
      <c r="QZO493" s="106"/>
      <c r="QZP493" s="106"/>
      <c r="QZQ493" s="106"/>
      <c r="QZR493" s="106"/>
      <c r="QZS493" s="106"/>
      <c r="QZT493" s="106"/>
      <c r="QZU493" s="106"/>
      <c r="QZV493" s="106"/>
      <c r="QZW493" s="106"/>
      <c r="QZX493" s="106"/>
      <c r="QZY493" s="106"/>
      <c r="QZZ493" s="106"/>
      <c r="RAA493" s="106"/>
      <c r="RAB493" s="106"/>
      <c r="RAC493" s="106"/>
      <c r="RAD493" s="106"/>
      <c r="RAE493" s="106"/>
      <c r="RAF493" s="106"/>
      <c r="RAG493" s="106"/>
      <c r="RAH493" s="106"/>
      <c r="RAI493" s="106"/>
      <c r="RAJ493" s="106"/>
      <c r="RAK493" s="106"/>
      <c r="RAL493" s="106"/>
      <c r="RAM493" s="106"/>
      <c r="RAN493" s="106"/>
      <c r="RAO493" s="106"/>
      <c r="RAP493" s="106"/>
      <c r="RAQ493" s="106"/>
      <c r="RAR493" s="106"/>
      <c r="RAS493" s="106"/>
      <c r="RAT493" s="106"/>
      <c r="RAU493" s="106"/>
      <c r="RAV493" s="106"/>
      <c r="RAW493" s="106"/>
      <c r="RAX493" s="106"/>
      <c r="RAY493" s="106"/>
      <c r="RAZ493" s="106"/>
      <c r="RBA493" s="106"/>
      <c r="RBB493" s="106"/>
      <c r="RBC493" s="106"/>
      <c r="RBD493" s="106"/>
      <c r="RBE493" s="106"/>
      <c r="RBF493" s="106"/>
      <c r="RBG493" s="106"/>
      <c r="RBH493" s="106"/>
      <c r="RBI493" s="106"/>
      <c r="RBJ493" s="106"/>
      <c r="RBK493" s="106"/>
      <c r="RBL493" s="106"/>
      <c r="RBM493" s="106"/>
      <c r="RBN493" s="106"/>
      <c r="RBO493" s="106"/>
      <c r="RBP493" s="106"/>
      <c r="RBQ493" s="106"/>
      <c r="RBR493" s="106"/>
      <c r="RBS493" s="106"/>
      <c r="RBT493" s="106"/>
      <c r="RBU493" s="106"/>
      <c r="RBV493" s="106"/>
      <c r="RBW493" s="106"/>
      <c r="RBX493" s="106"/>
      <c r="RBY493" s="106"/>
      <c r="RBZ493" s="106"/>
      <c r="RCA493" s="106"/>
      <c r="RCB493" s="106"/>
      <c r="RCC493" s="106"/>
      <c r="RCD493" s="106"/>
      <c r="RCE493" s="106"/>
      <c r="RCF493" s="106"/>
      <c r="RCG493" s="106"/>
      <c r="RCH493" s="106"/>
      <c r="RCI493" s="106"/>
      <c r="RCJ493" s="106"/>
      <c r="RCK493" s="106"/>
      <c r="RCL493" s="106"/>
      <c r="RCM493" s="106"/>
      <c r="RCN493" s="106"/>
      <c r="RCO493" s="106"/>
      <c r="RCP493" s="106"/>
      <c r="RCQ493" s="106"/>
      <c r="RCR493" s="106"/>
      <c r="RCS493" s="106"/>
      <c r="RCT493" s="106"/>
      <c r="RCU493" s="106"/>
      <c r="RCV493" s="106"/>
      <c r="RCW493" s="106"/>
      <c r="RCX493" s="106"/>
      <c r="RCY493" s="106"/>
      <c r="RCZ493" s="106"/>
      <c r="RDA493" s="106"/>
      <c r="RDB493" s="106"/>
      <c r="RDC493" s="106"/>
      <c r="RDD493" s="106"/>
      <c r="RDE493" s="106"/>
      <c r="RDF493" s="106"/>
      <c r="RDG493" s="106"/>
      <c r="RDH493" s="106"/>
      <c r="RDI493" s="106"/>
      <c r="RDJ493" s="106"/>
      <c r="RDK493" s="106"/>
      <c r="RDL493" s="106"/>
      <c r="RDM493" s="106"/>
      <c r="RDN493" s="106"/>
      <c r="RDO493" s="106"/>
      <c r="RDP493" s="106"/>
      <c r="RDQ493" s="106"/>
      <c r="RDR493" s="106"/>
      <c r="RDS493" s="106"/>
      <c r="RDT493" s="106"/>
      <c r="RDU493" s="106"/>
      <c r="RDV493" s="106"/>
      <c r="RDW493" s="106"/>
      <c r="RDX493" s="106"/>
      <c r="RDY493" s="106"/>
      <c r="RDZ493" s="106"/>
      <c r="REA493" s="106"/>
      <c r="REB493" s="106"/>
      <c r="REC493" s="106"/>
      <c r="RED493" s="106"/>
      <c r="REE493" s="106"/>
      <c r="REF493" s="106"/>
      <c r="REG493" s="106"/>
      <c r="REH493" s="106"/>
      <c r="REI493" s="106"/>
      <c r="REJ493" s="106"/>
      <c r="REK493" s="106"/>
      <c r="REL493" s="106"/>
      <c r="REM493" s="106"/>
      <c r="REN493" s="106"/>
      <c r="REO493" s="106"/>
      <c r="REP493" s="106"/>
      <c r="REQ493" s="106"/>
      <c r="RER493" s="106"/>
      <c r="RES493" s="106"/>
      <c r="RET493" s="106"/>
      <c r="REU493" s="106"/>
      <c r="REV493" s="106"/>
      <c r="REW493" s="106"/>
      <c r="REX493" s="106"/>
      <c r="REY493" s="106"/>
      <c r="REZ493" s="106"/>
      <c r="RFA493" s="106"/>
      <c r="RFB493" s="106"/>
      <c r="RFC493" s="106"/>
      <c r="RFD493" s="106"/>
      <c r="RFE493" s="106"/>
      <c r="RFF493" s="106"/>
      <c r="RFG493" s="106"/>
      <c r="RFH493" s="106"/>
      <c r="RFI493" s="106"/>
      <c r="RFJ493" s="106"/>
      <c r="RFK493" s="106"/>
      <c r="RFL493" s="106"/>
      <c r="RFM493" s="106"/>
      <c r="RFN493" s="106"/>
      <c r="RFO493" s="106"/>
      <c r="RFP493" s="106"/>
      <c r="RFQ493" s="106"/>
      <c r="RFR493" s="106"/>
      <c r="RFS493" s="106"/>
      <c r="RFT493" s="106"/>
      <c r="RFU493" s="106"/>
      <c r="RFV493" s="106"/>
      <c r="RFW493" s="106"/>
      <c r="RFX493" s="106"/>
      <c r="RFY493" s="106"/>
      <c r="RFZ493" s="106"/>
      <c r="RGA493" s="106"/>
      <c r="RGB493" s="106"/>
      <c r="RGC493" s="106"/>
      <c r="RGD493" s="106"/>
      <c r="RGE493" s="106"/>
      <c r="RGF493" s="106"/>
      <c r="RGG493" s="106"/>
      <c r="RGH493" s="106"/>
      <c r="RGI493" s="106"/>
      <c r="RGJ493" s="106"/>
      <c r="RGK493" s="106"/>
      <c r="RGL493" s="106"/>
      <c r="RGM493" s="106"/>
      <c r="RGN493" s="106"/>
      <c r="RGO493" s="106"/>
      <c r="RGP493" s="106"/>
      <c r="RGQ493" s="106"/>
      <c r="RGR493" s="106"/>
      <c r="RGS493" s="106"/>
      <c r="RGT493" s="106"/>
      <c r="RGU493" s="106"/>
      <c r="RGV493" s="106"/>
      <c r="RGW493" s="106"/>
      <c r="RGX493" s="106"/>
      <c r="RGY493" s="106"/>
      <c r="RGZ493" s="106"/>
      <c r="RHA493" s="106"/>
      <c r="RHB493" s="106"/>
      <c r="RHC493" s="106"/>
      <c r="RHD493" s="106"/>
      <c r="RHE493" s="106"/>
      <c r="RHF493" s="106"/>
      <c r="RHG493" s="106"/>
      <c r="RHH493" s="106"/>
      <c r="RHI493" s="106"/>
      <c r="RHJ493" s="106"/>
      <c r="RHK493" s="106"/>
      <c r="RHL493" s="106"/>
      <c r="RHM493" s="106"/>
      <c r="RHN493" s="106"/>
      <c r="RHO493" s="106"/>
      <c r="RHP493" s="106"/>
      <c r="RHQ493" s="106"/>
      <c r="RHR493" s="106"/>
      <c r="RHS493" s="106"/>
      <c r="RHT493" s="106"/>
      <c r="RHU493" s="106"/>
      <c r="RHV493" s="106"/>
      <c r="RHW493" s="106"/>
      <c r="RHX493" s="106"/>
      <c r="RHY493" s="106"/>
      <c r="RHZ493" s="106"/>
      <c r="RIA493" s="106"/>
      <c r="RIB493" s="106"/>
      <c r="RIC493" s="106"/>
      <c r="RID493" s="106"/>
      <c r="RIE493" s="106"/>
      <c r="RIF493" s="106"/>
      <c r="RIG493" s="106"/>
      <c r="RIH493" s="106"/>
      <c r="RII493" s="106"/>
      <c r="RIJ493" s="106"/>
      <c r="RIK493" s="106"/>
      <c r="RIL493" s="106"/>
      <c r="RIM493" s="106"/>
      <c r="RIN493" s="106"/>
      <c r="RIO493" s="106"/>
      <c r="RIP493" s="106"/>
      <c r="RIQ493" s="106"/>
      <c r="RIR493" s="106"/>
      <c r="RIS493" s="106"/>
      <c r="RIT493" s="106"/>
      <c r="RIU493" s="106"/>
      <c r="RIV493" s="106"/>
      <c r="RIW493" s="106"/>
      <c r="RIX493" s="106"/>
      <c r="RIY493" s="106"/>
      <c r="RIZ493" s="106"/>
      <c r="RJA493" s="106"/>
      <c r="RJB493" s="106"/>
      <c r="RJC493" s="106"/>
      <c r="RJD493" s="106"/>
      <c r="RJE493" s="106"/>
      <c r="RJF493" s="106"/>
      <c r="RJG493" s="106"/>
      <c r="RJH493" s="106"/>
      <c r="RJI493" s="106"/>
      <c r="RJJ493" s="106"/>
      <c r="RJK493" s="106"/>
      <c r="RJL493" s="106"/>
      <c r="RJM493" s="106"/>
      <c r="RJN493" s="106"/>
      <c r="RJO493" s="106"/>
      <c r="RJP493" s="106"/>
      <c r="RJQ493" s="106"/>
      <c r="RJR493" s="106"/>
      <c r="RJS493" s="106"/>
      <c r="RJT493" s="106"/>
      <c r="RJU493" s="106"/>
      <c r="RJV493" s="106"/>
      <c r="RJW493" s="106"/>
      <c r="RJX493" s="106"/>
      <c r="RJY493" s="106"/>
      <c r="RJZ493" s="106"/>
      <c r="RKA493" s="106"/>
      <c r="RKB493" s="106"/>
      <c r="RKC493" s="106"/>
      <c r="RKD493" s="106"/>
      <c r="RKE493" s="106"/>
      <c r="RKF493" s="106"/>
      <c r="RKG493" s="106"/>
      <c r="RKH493" s="106"/>
      <c r="RKI493" s="106"/>
      <c r="RKJ493" s="106"/>
      <c r="RKK493" s="106"/>
      <c r="RKL493" s="106"/>
      <c r="RKM493" s="106"/>
      <c r="RKN493" s="106"/>
      <c r="RKO493" s="106"/>
      <c r="RKP493" s="106"/>
      <c r="RKQ493" s="106"/>
      <c r="RKR493" s="106"/>
      <c r="RKS493" s="106"/>
      <c r="RKT493" s="106"/>
      <c r="RKU493" s="106"/>
      <c r="RKV493" s="106"/>
      <c r="RKW493" s="106"/>
      <c r="RKX493" s="106"/>
      <c r="RKY493" s="106"/>
      <c r="RKZ493" s="106"/>
      <c r="RLA493" s="106"/>
      <c r="RLB493" s="106"/>
      <c r="RLC493" s="106"/>
      <c r="RLD493" s="106"/>
      <c r="RLE493" s="106"/>
      <c r="RLF493" s="106"/>
      <c r="RLG493" s="106"/>
      <c r="RLH493" s="106"/>
      <c r="RLI493" s="106"/>
      <c r="RLJ493" s="106"/>
      <c r="RLK493" s="106"/>
      <c r="RLL493" s="106"/>
      <c r="RLM493" s="106"/>
      <c r="RLN493" s="106"/>
      <c r="RLO493" s="106"/>
      <c r="RLP493" s="106"/>
      <c r="RLQ493" s="106"/>
      <c r="RLR493" s="106"/>
      <c r="RLS493" s="106"/>
      <c r="RLT493" s="106"/>
      <c r="RLU493" s="106"/>
      <c r="RLV493" s="106"/>
      <c r="RLW493" s="106"/>
      <c r="RLX493" s="106"/>
      <c r="RLY493" s="106"/>
      <c r="RLZ493" s="106"/>
      <c r="RMA493" s="106"/>
      <c r="RMB493" s="106"/>
      <c r="RMC493" s="106"/>
      <c r="RMD493" s="106"/>
      <c r="RME493" s="106"/>
      <c r="RMF493" s="106"/>
      <c r="RMG493" s="106"/>
      <c r="RMH493" s="106"/>
      <c r="RMI493" s="106"/>
      <c r="RMJ493" s="106"/>
      <c r="RMK493" s="106"/>
      <c r="RML493" s="106"/>
      <c r="RMM493" s="106"/>
      <c r="RMN493" s="106"/>
      <c r="RMO493" s="106"/>
      <c r="RMP493" s="106"/>
      <c r="RMQ493" s="106"/>
      <c r="RMR493" s="106"/>
      <c r="RMS493" s="106"/>
      <c r="RMT493" s="106"/>
      <c r="RMU493" s="106"/>
      <c r="RMV493" s="106"/>
      <c r="RMW493" s="106"/>
      <c r="RMX493" s="106"/>
      <c r="RMY493" s="106"/>
      <c r="RMZ493" s="106"/>
      <c r="RNA493" s="106"/>
      <c r="RNB493" s="106"/>
      <c r="RNC493" s="106"/>
      <c r="RND493" s="106"/>
      <c r="RNE493" s="106"/>
      <c r="RNF493" s="106"/>
      <c r="RNG493" s="106"/>
      <c r="RNH493" s="106"/>
      <c r="RNI493" s="106"/>
      <c r="RNJ493" s="106"/>
      <c r="RNK493" s="106"/>
      <c r="RNL493" s="106"/>
      <c r="RNM493" s="106"/>
      <c r="RNN493" s="106"/>
      <c r="RNO493" s="106"/>
      <c r="RNP493" s="106"/>
      <c r="RNQ493" s="106"/>
      <c r="RNR493" s="106"/>
      <c r="RNS493" s="106"/>
      <c r="RNT493" s="106"/>
      <c r="RNU493" s="106"/>
      <c r="RNV493" s="106"/>
      <c r="RNW493" s="106"/>
      <c r="RNX493" s="106"/>
      <c r="RNY493" s="106"/>
      <c r="RNZ493" s="106"/>
      <c r="ROA493" s="106"/>
      <c r="ROB493" s="106"/>
      <c r="ROC493" s="106"/>
      <c r="ROD493" s="106"/>
      <c r="ROE493" s="106"/>
      <c r="ROF493" s="106"/>
      <c r="ROG493" s="106"/>
      <c r="ROH493" s="106"/>
      <c r="ROI493" s="106"/>
      <c r="ROJ493" s="106"/>
      <c r="ROK493" s="106"/>
      <c r="ROL493" s="106"/>
      <c r="ROM493" s="106"/>
      <c r="RON493" s="106"/>
      <c r="ROO493" s="106"/>
      <c r="ROP493" s="106"/>
      <c r="ROQ493" s="106"/>
      <c r="ROR493" s="106"/>
      <c r="ROS493" s="106"/>
      <c r="ROT493" s="106"/>
      <c r="ROU493" s="106"/>
      <c r="ROV493" s="106"/>
      <c r="ROW493" s="106"/>
      <c r="ROX493" s="106"/>
      <c r="ROY493" s="106"/>
      <c r="ROZ493" s="106"/>
      <c r="RPA493" s="106"/>
      <c r="RPB493" s="106"/>
      <c r="RPC493" s="106"/>
      <c r="RPD493" s="106"/>
      <c r="RPE493" s="106"/>
      <c r="RPF493" s="106"/>
      <c r="RPG493" s="106"/>
      <c r="RPH493" s="106"/>
      <c r="RPI493" s="106"/>
      <c r="RPJ493" s="106"/>
      <c r="RPK493" s="106"/>
      <c r="RPL493" s="106"/>
      <c r="RPM493" s="106"/>
      <c r="RPN493" s="106"/>
      <c r="RPO493" s="106"/>
      <c r="RPP493" s="106"/>
      <c r="RPQ493" s="106"/>
      <c r="RPR493" s="106"/>
      <c r="RPS493" s="106"/>
      <c r="RPT493" s="106"/>
      <c r="RPU493" s="106"/>
      <c r="RPV493" s="106"/>
      <c r="RPW493" s="106"/>
      <c r="RPX493" s="106"/>
      <c r="RPY493" s="106"/>
      <c r="RPZ493" s="106"/>
      <c r="RQA493" s="106"/>
      <c r="RQB493" s="106"/>
      <c r="RQC493" s="106"/>
      <c r="RQD493" s="106"/>
      <c r="RQE493" s="106"/>
      <c r="RQF493" s="106"/>
      <c r="RQG493" s="106"/>
      <c r="RQH493" s="106"/>
      <c r="RQI493" s="106"/>
      <c r="RQJ493" s="106"/>
      <c r="RQK493" s="106"/>
      <c r="RQL493" s="106"/>
      <c r="RQM493" s="106"/>
      <c r="RQN493" s="106"/>
      <c r="RQO493" s="106"/>
      <c r="RQP493" s="106"/>
      <c r="RQQ493" s="106"/>
      <c r="RQR493" s="106"/>
      <c r="RQS493" s="106"/>
      <c r="RQT493" s="106"/>
      <c r="RQU493" s="106"/>
      <c r="RQV493" s="106"/>
      <c r="RQW493" s="106"/>
      <c r="RQX493" s="106"/>
      <c r="RQY493" s="106"/>
      <c r="RQZ493" s="106"/>
      <c r="RRA493" s="106"/>
      <c r="RRB493" s="106"/>
      <c r="RRC493" s="106"/>
      <c r="RRD493" s="106"/>
      <c r="RRE493" s="106"/>
      <c r="RRF493" s="106"/>
      <c r="RRG493" s="106"/>
      <c r="RRH493" s="106"/>
      <c r="RRI493" s="106"/>
      <c r="RRJ493" s="106"/>
      <c r="RRK493" s="106"/>
      <c r="RRL493" s="106"/>
      <c r="RRM493" s="106"/>
      <c r="RRN493" s="106"/>
      <c r="RRO493" s="106"/>
      <c r="RRP493" s="106"/>
      <c r="RRQ493" s="106"/>
      <c r="RRR493" s="106"/>
      <c r="RRS493" s="106"/>
      <c r="RRT493" s="106"/>
      <c r="RRU493" s="106"/>
      <c r="RRV493" s="106"/>
      <c r="RRW493" s="106"/>
      <c r="RRX493" s="106"/>
      <c r="RRY493" s="106"/>
      <c r="RRZ493" s="106"/>
      <c r="RSA493" s="106"/>
      <c r="RSB493" s="106"/>
      <c r="RSC493" s="106"/>
      <c r="RSD493" s="106"/>
      <c r="RSE493" s="106"/>
      <c r="RSF493" s="106"/>
      <c r="RSG493" s="106"/>
      <c r="RSH493" s="106"/>
      <c r="RSI493" s="106"/>
      <c r="RSJ493" s="106"/>
      <c r="RSK493" s="106"/>
      <c r="RSL493" s="106"/>
      <c r="RSM493" s="106"/>
      <c r="RSN493" s="106"/>
      <c r="RSO493" s="106"/>
      <c r="RSP493" s="106"/>
      <c r="RSQ493" s="106"/>
      <c r="RSR493" s="106"/>
      <c r="RSS493" s="106"/>
      <c r="RST493" s="106"/>
      <c r="RSU493" s="106"/>
      <c r="RSV493" s="106"/>
      <c r="RSW493" s="106"/>
      <c r="RSX493" s="106"/>
      <c r="RSY493" s="106"/>
      <c r="RSZ493" s="106"/>
      <c r="RTA493" s="106"/>
      <c r="RTB493" s="106"/>
      <c r="RTC493" s="106"/>
      <c r="RTD493" s="106"/>
      <c r="RTE493" s="106"/>
      <c r="RTF493" s="106"/>
      <c r="RTG493" s="106"/>
      <c r="RTH493" s="106"/>
      <c r="RTI493" s="106"/>
      <c r="RTJ493" s="106"/>
      <c r="RTK493" s="106"/>
      <c r="RTL493" s="106"/>
      <c r="RTM493" s="106"/>
      <c r="RTN493" s="106"/>
      <c r="RTO493" s="106"/>
      <c r="RTP493" s="106"/>
      <c r="RTQ493" s="106"/>
      <c r="RTR493" s="106"/>
      <c r="RTS493" s="106"/>
      <c r="RTT493" s="106"/>
      <c r="RTU493" s="106"/>
      <c r="RTV493" s="106"/>
      <c r="RTW493" s="106"/>
      <c r="RTX493" s="106"/>
      <c r="RTY493" s="106"/>
      <c r="RTZ493" s="106"/>
      <c r="RUA493" s="106"/>
      <c r="RUB493" s="106"/>
      <c r="RUC493" s="106"/>
      <c r="RUD493" s="106"/>
      <c r="RUE493" s="106"/>
      <c r="RUF493" s="106"/>
      <c r="RUG493" s="106"/>
      <c r="RUH493" s="106"/>
      <c r="RUI493" s="106"/>
      <c r="RUJ493" s="106"/>
      <c r="RUK493" s="106"/>
      <c r="RUL493" s="106"/>
      <c r="RUM493" s="106"/>
      <c r="RUN493" s="106"/>
      <c r="RUO493" s="106"/>
      <c r="RUP493" s="106"/>
      <c r="RUQ493" s="106"/>
      <c r="RUR493" s="106"/>
      <c r="RUS493" s="106"/>
      <c r="RUT493" s="106"/>
      <c r="RUU493" s="106"/>
      <c r="RUV493" s="106"/>
      <c r="RUW493" s="106"/>
      <c r="RUX493" s="106"/>
      <c r="RUY493" s="106"/>
      <c r="RUZ493" s="106"/>
      <c r="RVA493" s="106"/>
      <c r="RVB493" s="106"/>
      <c r="RVC493" s="106"/>
      <c r="RVD493" s="106"/>
      <c r="RVE493" s="106"/>
      <c r="RVF493" s="106"/>
      <c r="RVG493" s="106"/>
      <c r="RVH493" s="106"/>
      <c r="RVI493" s="106"/>
      <c r="RVJ493" s="106"/>
      <c r="RVK493" s="106"/>
      <c r="RVL493" s="106"/>
      <c r="RVM493" s="106"/>
      <c r="RVN493" s="106"/>
      <c r="RVO493" s="106"/>
      <c r="RVP493" s="106"/>
      <c r="RVQ493" s="106"/>
      <c r="RVR493" s="106"/>
      <c r="RVS493" s="106"/>
      <c r="RVT493" s="106"/>
      <c r="RVU493" s="106"/>
      <c r="RVV493" s="106"/>
      <c r="RVW493" s="106"/>
      <c r="RVX493" s="106"/>
      <c r="RVY493" s="106"/>
      <c r="RVZ493" s="106"/>
      <c r="RWA493" s="106"/>
      <c r="RWB493" s="106"/>
      <c r="RWC493" s="106"/>
      <c r="RWD493" s="106"/>
      <c r="RWE493" s="106"/>
      <c r="RWF493" s="106"/>
      <c r="RWG493" s="106"/>
      <c r="RWH493" s="106"/>
      <c r="RWI493" s="106"/>
      <c r="RWJ493" s="106"/>
      <c r="RWK493" s="106"/>
      <c r="RWL493" s="106"/>
      <c r="RWM493" s="106"/>
      <c r="RWN493" s="106"/>
      <c r="RWO493" s="106"/>
      <c r="RWP493" s="106"/>
      <c r="RWQ493" s="106"/>
      <c r="RWR493" s="106"/>
      <c r="RWS493" s="106"/>
      <c r="RWT493" s="106"/>
      <c r="RWU493" s="106"/>
      <c r="RWV493" s="106"/>
      <c r="RWW493" s="106"/>
      <c r="RWX493" s="106"/>
      <c r="RWY493" s="106"/>
      <c r="RWZ493" s="106"/>
      <c r="RXA493" s="106"/>
      <c r="RXB493" s="106"/>
      <c r="RXC493" s="106"/>
      <c r="RXD493" s="106"/>
      <c r="RXE493" s="106"/>
      <c r="RXF493" s="106"/>
      <c r="RXG493" s="106"/>
      <c r="RXH493" s="106"/>
      <c r="RXI493" s="106"/>
      <c r="RXJ493" s="106"/>
      <c r="RXK493" s="106"/>
      <c r="RXL493" s="106"/>
      <c r="RXM493" s="106"/>
      <c r="RXN493" s="106"/>
      <c r="RXO493" s="106"/>
      <c r="RXP493" s="106"/>
      <c r="RXQ493" s="106"/>
      <c r="RXR493" s="106"/>
      <c r="RXS493" s="106"/>
      <c r="RXT493" s="106"/>
      <c r="RXU493" s="106"/>
      <c r="RXV493" s="106"/>
      <c r="RXW493" s="106"/>
      <c r="RXX493" s="106"/>
      <c r="RXY493" s="106"/>
      <c r="RXZ493" s="106"/>
      <c r="RYA493" s="106"/>
      <c r="RYB493" s="106"/>
      <c r="RYC493" s="106"/>
      <c r="RYD493" s="106"/>
      <c r="RYE493" s="106"/>
      <c r="RYF493" s="106"/>
      <c r="RYG493" s="106"/>
      <c r="RYH493" s="106"/>
      <c r="RYI493" s="106"/>
      <c r="RYJ493" s="106"/>
      <c r="RYK493" s="106"/>
      <c r="RYL493" s="106"/>
      <c r="RYM493" s="106"/>
      <c r="RYN493" s="106"/>
      <c r="RYO493" s="106"/>
      <c r="RYP493" s="106"/>
      <c r="RYQ493" s="106"/>
      <c r="RYR493" s="106"/>
      <c r="RYS493" s="106"/>
      <c r="RYT493" s="106"/>
      <c r="RYU493" s="106"/>
      <c r="RYV493" s="106"/>
      <c r="RYW493" s="106"/>
      <c r="RYX493" s="106"/>
      <c r="RYY493" s="106"/>
      <c r="RYZ493" s="106"/>
      <c r="RZA493" s="106"/>
      <c r="RZB493" s="106"/>
      <c r="RZC493" s="106"/>
      <c r="RZD493" s="106"/>
      <c r="RZE493" s="106"/>
      <c r="RZF493" s="106"/>
      <c r="RZG493" s="106"/>
      <c r="RZH493" s="106"/>
      <c r="RZI493" s="106"/>
      <c r="RZJ493" s="106"/>
      <c r="RZK493" s="106"/>
      <c r="RZL493" s="106"/>
      <c r="RZM493" s="106"/>
      <c r="RZN493" s="106"/>
      <c r="RZO493" s="106"/>
      <c r="RZP493" s="106"/>
      <c r="RZQ493" s="106"/>
      <c r="RZR493" s="106"/>
      <c r="RZS493" s="106"/>
      <c r="RZT493" s="106"/>
      <c r="RZU493" s="106"/>
      <c r="RZV493" s="106"/>
      <c r="RZW493" s="106"/>
      <c r="RZX493" s="106"/>
      <c r="RZY493" s="106"/>
      <c r="RZZ493" s="106"/>
      <c r="SAA493" s="106"/>
      <c r="SAB493" s="106"/>
      <c r="SAC493" s="106"/>
      <c r="SAD493" s="106"/>
      <c r="SAE493" s="106"/>
      <c r="SAF493" s="106"/>
      <c r="SAG493" s="106"/>
      <c r="SAH493" s="106"/>
      <c r="SAI493" s="106"/>
      <c r="SAJ493" s="106"/>
      <c r="SAK493" s="106"/>
      <c r="SAL493" s="106"/>
      <c r="SAM493" s="106"/>
      <c r="SAN493" s="106"/>
      <c r="SAO493" s="106"/>
      <c r="SAP493" s="106"/>
      <c r="SAQ493" s="106"/>
      <c r="SAR493" s="106"/>
      <c r="SAS493" s="106"/>
      <c r="SAT493" s="106"/>
      <c r="SAU493" s="106"/>
      <c r="SAV493" s="106"/>
      <c r="SAW493" s="106"/>
      <c r="SAX493" s="106"/>
      <c r="SAY493" s="106"/>
      <c r="SAZ493" s="106"/>
      <c r="SBA493" s="106"/>
      <c r="SBB493" s="106"/>
      <c r="SBC493" s="106"/>
      <c r="SBD493" s="106"/>
      <c r="SBE493" s="106"/>
      <c r="SBF493" s="106"/>
      <c r="SBG493" s="106"/>
      <c r="SBH493" s="106"/>
      <c r="SBI493" s="106"/>
      <c r="SBJ493" s="106"/>
      <c r="SBK493" s="106"/>
      <c r="SBL493" s="106"/>
      <c r="SBM493" s="106"/>
      <c r="SBN493" s="106"/>
      <c r="SBO493" s="106"/>
      <c r="SBP493" s="106"/>
      <c r="SBQ493" s="106"/>
      <c r="SBR493" s="106"/>
      <c r="SBS493" s="106"/>
      <c r="SBT493" s="106"/>
      <c r="SBU493" s="106"/>
      <c r="SBV493" s="106"/>
      <c r="SBW493" s="106"/>
      <c r="SBX493" s="106"/>
      <c r="SBY493" s="106"/>
      <c r="SBZ493" s="106"/>
      <c r="SCA493" s="106"/>
      <c r="SCB493" s="106"/>
      <c r="SCC493" s="106"/>
      <c r="SCD493" s="106"/>
      <c r="SCE493" s="106"/>
      <c r="SCF493" s="106"/>
      <c r="SCG493" s="106"/>
      <c r="SCH493" s="106"/>
      <c r="SCI493" s="106"/>
      <c r="SCJ493" s="106"/>
      <c r="SCK493" s="106"/>
      <c r="SCL493" s="106"/>
      <c r="SCM493" s="106"/>
      <c r="SCN493" s="106"/>
      <c r="SCO493" s="106"/>
      <c r="SCP493" s="106"/>
      <c r="SCQ493" s="106"/>
      <c r="SCR493" s="106"/>
      <c r="SCS493" s="106"/>
      <c r="SCT493" s="106"/>
      <c r="SCU493" s="106"/>
      <c r="SCV493" s="106"/>
      <c r="SCW493" s="106"/>
      <c r="SCX493" s="106"/>
      <c r="SCY493" s="106"/>
      <c r="SCZ493" s="106"/>
      <c r="SDA493" s="106"/>
      <c r="SDB493" s="106"/>
      <c r="SDC493" s="106"/>
      <c r="SDD493" s="106"/>
      <c r="SDE493" s="106"/>
      <c r="SDF493" s="106"/>
      <c r="SDG493" s="106"/>
      <c r="SDH493" s="106"/>
      <c r="SDI493" s="106"/>
      <c r="SDJ493" s="106"/>
      <c r="SDK493" s="106"/>
      <c r="SDL493" s="106"/>
      <c r="SDM493" s="106"/>
      <c r="SDN493" s="106"/>
      <c r="SDO493" s="106"/>
      <c r="SDP493" s="106"/>
      <c r="SDQ493" s="106"/>
      <c r="SDR493" s="106"/>
      <c r="SDS493" s="106"/>
      <c r="SDT493" s="106"/>
      <c r="SDU493" s="106"/>
      <c r="SDV493" s="106"/>
      <c r="SDW493" s="106"/>
      <c r="SDX493" s="106"/>
      <c r="SDY493" s="106"/>
      <c r="SDZ493" s="106"/>
      <c r="SEA493" s="106"/>
      <c r="SEB493" s="106"/>
      <c r="SEC493" s="106"/>
      <c r="SED493" s="106"/>
      <c r="SEE493" s="106"/>
      <c r="SEF493" s="106"/>
      <c r="SEG493" s="106"/>
      <c r="SEH493" s="106"/>
      <c r="SEI493" s="106"/>
      <c r="SEJ493" s="106"/>
      <c r="SEK493" s="106"/>
      <c r="SEL493" s="106"/>
      <c r="SEM493" s="106"/>
      <c r="SEN493" s="106"/>
      <c r="SEO493" s="106"/>
      <c r="SEP493" s="106"/>
      <c r="SEQ493" s="106"/>
      <c r="SER493" s="106"/>
      <c r="SES493" s="106"/>
      <c r="SET493" s="106"/>
      <c r="SEU493" s="106"/>
      <c r="SEV493" s="106"/>
      <c r="SEW493" s="106"/>
      <c r="SEX493" s="106"/>
      <c r="SEY493" s="106"/>
      <c r="SEZ493" s="106"/>
      <c r="SFA493" s="106"/>
      <c r="SFB493" s="106"/>
      <c r="SFC493" s="106"/>
      <c r="SFD493" s="106"/>
      <c r="SFE493" s="106"/>
      <c r="SFF493" s="106"/>
      <c r="SFG493" s="106"/>
      <c r="SFH493" s="106"/>
      <c r="SFI493" s="106"/>
      <c r="SFJ493" s="106"/>
      <c r="SFK493" s="106"/>
      <c r="SFL493" s="106"/>
      <c r="SFM493" s="106"/>
      <c r="SFN493" s="106"/>
      <c r="SFO493" s="106"/>
      <c r="SFP493" s="106"/>
      <c r="SFQ493" s="106"/>
      <c r="SFR493" s="106"/>
      <c r="SFS493" s="106"/>
      <c r="SFT493" s="106"/>
      <c r="SFU493" s="106"/>
      <c r="SFV493" s="106"/>
      <c r="SFW493" s="106"/>
      <c r="SFX493" s="106"/>
      <c r="SFY493" s="106"/>
      <c r="SFZ493" s="106"/>
      <c r="SGA493" s="106"/>
      <c r="SGB493" s="106"/>
      <c r="SGC493" s="106"/>
      <c r="SGD493" s="106"/>
      <c r="SGE493" s="106"/>
      <c r="SGF493" s="106"/>
      <c r="SGG493" s="106"/>
      <c r="SGH493" s="106"/>
      <c r="SGI493" s="106"/>
      <c r="SGJ493" s="106"/>
      <c r="SGK493" s="106"/>
      <c r="SGL493" s="106"/>
      <c r="SGM493" s="106"/>
      <c r="SGN493" s="106"/>
      <c r="SGO493" s="106"/>
      <c r="SGP493" s="106"/>
      <c r="SGQ493" s="106"/>
      <c r="SGR493" s="106"/>
      <c r="SGS493" s="106"/>
      <c r="SGT493" s="106"/>
      <c r="SGU493" s="106"/>
      <c r="SGV493" s="106"/>
      <c r="SGW493" s="106"/>
      <c r="SGX493" s="106"/>
      <c r="SGY493" s="106"/>
      <c r="SGZ493" s="106"/>
      <c r="SHA493" s="106"/>
      <c r="SHB493" s="106"/>
      <c r="SHC493" s="106"/>
      <c r="SHD493" s="106"/>
      <c r="SHE493" s="106"/>
      <c r="SHF493" s="106"/>
      <c r="SHG493" s="106"/>
      <c r="SHH493" s="106"/>
      <c r="SHI493" s="106"/>
      <c r="SHJ493" s="106"/>
      <c r="SHK493" s="106"/>
      <c r="SHL493" s="106"/>
      <c r="SHM493" s="106"/>
      <c r="SHN493" s="106"/>
      <c r="SHO493" s="106"/>
      <c r="SHP493" s="106"/>
      <c r="SHQ493" s="106"/>
      <c r="SHR493" s="106"/>
      <c r="SHS493" s="106"/>
      <c r="SHT493" s="106"/>
      <c r="SHU493" s="106"/>
      <c r="SHV493" s="106"/>
      <c r="SHW493" s="106"/>
      <c r="SHX493" s="106"/>
      <c r="SHY493" s="106"/>
      <c r="SHZ493" s="106"/>
      <c r="SIA493" s="106"/>
      <c r="SIB493" s="106"/>
      <c r="SIC493" s="106"/>
      <c r="SID493" s="106"/>
      <c r="SIE493" s="106"/>
      <c r="SIF493" s="106"/>
      <c r="SIG493" s="106"/>
      <c r="SIH493" s="106"/>
      <c r="SII493" s="106"/>
      <c r="SIJ493" s="106"/>
      <c r="SIK493" s="106"/>
      <c r="SIL493" s="106"/>
      <c r="SIM493" s="106"/>
      <c r="SIN493" s="106"/>
      <c r="SIO493" s="106"/>
      <c r="SIP493" s="106"/>
      <c r="SIQ493" s="106"/>
      <c r="SIR493" s="106"/>
      <c r="SIS493" s="106"/>
      <c r="SIT493" s="106"/>
      <c r="SIU493" s="106"/>
      <c r="SIV493" s="106"/>
      <c r="SIW493" s="106"/>
      <c r="SIX493" s="106"/>
      <c r="SIY493" s="106"/>
      <c r="SIZ493" s="106"/>
      <c r="SJA493" s="106"/>
      <c r="SJB493" s="106"/>
      <c r="SJC493" s="106"/>
      <c r="SJD493" s="106"/>
      <c r="SJE493" s="106"/>
      <c r="SJF493" s="106"/>
      <c r="SJG493" s="106"/>
      <c r="SJH493" s="106"/>
      <c r="SJI493" s="106"/>
      <c r="SJJ493" s="106"/>
      <c r="SJK493" s="106"/>
      <c r="SJL493" s="106"/>
      <c r="SJM493" s="106"/>
      <c r="SJN493" s="106"/>
      <c r="SJO493" s="106"/>
      <c r="SJP493" s="106"/>
      <c r="SJQ493" s="106"/>
      <c r="SJR493" s="106"/>
      <c r="SJS493" s="106"/>
      <c r="SJT493" s="106"/>
      <c r="SJU493" s="106"/>
      <c r="SJV493" s="106"/>
      <c r="SJW493" s="106"/>
      <c r="SJX493" s="106"/>
      <c r="SJY493" s="106"/>
      <c r="SJZ493" s="106"/>
      <c r="SKA493" s="106"/>
      <c r="SKB493" s="106"/>
      <c r="SKC493" s="106"/>
      <c r="SKD493" s="106"/>
      <c r="SKE493" s="106"/>
      <c r="SKF493" s="106"/>
      <c r="SKG493" s="106"/>
      <c r="SKH493" s="106"/>
      <c r="SKI493" s="106"/>
      <c r="SKJ493" s="106"/>
      <c r="SKK493" s="106"/>
      <c r="SKL493" s="106"/>
      <c r="SKM493" s="106"/>
      <c r="SKN493" s="106"/>
      <c r="SKO493" s="106"/>
      <c r="SKP493" s="106"/>
      <c r="SKQ493" s="106"/>
      <c r="SKR493" s="106"/>
      <c r="SKS493" s="106"/>
      <c r="SKT493" s="106"/>
      <c r="SKU493" s="106"/>
      <c r="SKV493" s="106"/>
      <c r="SKW493" s="106"/>
      <c r="SKX493" s="106"/>
      <c r="SKY493" s="106"/>
      <c r="SKZ493" s="106"/>
      <c r="SLA493" s="106"/>
      <c r="SLB493" s="106"/>
      <c r="SLC493" s="106"/>
      <c r="SLD493" s="106"/>
      <c r="SLE493" s="106"/>
      <c r="SLF493" s="106"/>
      <c r="SLG493" s="106"/>
      <c r="SLH493" s="106"/>
      <c r="SLI493" s="106"/>
      <c r="SLJ493" s="106"/>
      <c r="SLK493" s="106"/>
      <c r="SLL493" s="106"/>
      <c r="SLM493" s="106"/>
      <c r="SLN493" s="106"/>
      <c r="SLO493" s="106"/>
      <c r="SLP493" s="106"/>
      <c r="SLQ493" s="106"/>
      <c r="SLR493" s="106"/>
      <c r="SLS493" s="106"/>
      <c r="SLT493" s="106"/>
      <c r="SLU493" s="106"/>
      <c r="SLV493" s="106"/>
      <c r="SLW493" s="106"/>
      <c r="SLX493" s="106"/>
      <c r="SLY493" s="106"/>
      <c r="SLZ493" s="106"/>
      <c r="SMA493" s="106"/>
      <c r="SMB493" s="106"/>
      <c r="SMC493" s="106"/>
      <c r="SMD493" s="106"/>
      <c r="SME493" s="106"/>
      <c r="SMF493" s="106"/>
      <c r="SMG493" s="106"/>
      <c r="SMH493" s="106"/>
      <c r="SMI493" s="106"/>
      <c r="SMJ493" s="106"/>
      <c r="SMK493" s="106"/>
      <c r="SML493" s="106"/>
      <c r="SMM493" s="106"/>
      <c r="SMN493" s="106"/>
      <c r="SMO493" s="106"/>
      <c r="SMP493" s="106"/>
      <c r="SMQ493" s="106"/>
      <c r="SMR493" s="106"/>
      <c r="SMS493" s="106"/>
      <c r="SMT493" s="106"/>
      <c r="SMU493" s="106"/>
      <c r="SMV493" s="106"/>
      <c r="SMW493" s="106"/>
      <c r="SMX493" s="106"/>
      <c r="SMY493" s="106"/>
      <c r="SMZ493" s="106"/>
      <c r="SNA493" s="106"/>
      <c r="SNB493" s="106"/>
      <c r="SNC493" s="106"/>
      <c r="SND493" s="106"/>
      <c r="SNE493" s="106"/>
      <c r="SNF493" s="106"/>
      <c r="SNG493" s="106"/>
      <c r="SNH493" s="106"/>
      <c r="SNI493" s="106"/>
      <c r="SNJ493" s="106"/>
      <c r="SNK493" s="106"/>
      <c r="SNL493" s="106"/>
      <c r="SNM493" s="106"/>
      <c r="SNN493" s="106"/>
      <c r="SNO493" s="106"/>
      <c r="SNP493" s="106"/>
      <c r="SNQ493" s="106"/>
      <c r="SNR493" s="106"/>
      <c r="SNS493" s="106"/>
      <c r="SNT493" s="106"/>
      <c r="SNU493" s="106"/>
      <c r="SNV493" s="106"/>
      <c r="SNW493" s="106"/>
      <c r="SNX493" s="106"/>
      <c r="SNY493" s="106"/>
      <c r="SNZ493" s="106"/>
      <c r="SOA493" s="106"/>
      <c r="SOB493" s="106"/>
      <c r="SOC493" s="106"/>
      <c r="SOD493" s="106"/>
      <c r="SOE493" s="106"/>
      <c r="SOF493" s="106"/>
      <c r="SOG493" s="106"/>
      <c r="SOH493" s="106"/>
      <c r="SOI493" s="106"/>
      <c r="SOJ493" s="106"/>
      <c r="SOK493" s="106"/>
      <c r="SOL493" s="106"/>
      <c r="SOM493" s="106"/>
      <c r="SON493" s="106"/>
      <c r="SOO493" s="106"/>
      <c r="SOP493" s="106"/>
      <c r="SOQ493" s="106"/>
      <c r="SOR493" s="106"/>
      <c r="SOS493" s="106"/>
      <c r="SOT493" s="106"/>
      <c r="SOU493" s="106"/>
      <c r="SOV493" s="106"/>
      <c r="SOW493" s="106"/>
      <c r="SOX493" s="106"/>
      <c r="SOY493" s="106"/>
      <c r="SOZ493" s="106"/>
      <c r="SPA493" s="106"/>
      <c r="SPB493" s="106"/>
      <c r="SPC493" s="106"/>
      <c r="SPD493" s="106"/>
      <c r="SPE493" s="106"/>
      <c r="SPF493" s="106"/>
      <c r="SPG493" s="106"/>
      <c r="SPH493" s="106"/>
      <c r="SPI493" s="106"/>
      <c r="SPJ493" s="106"/>
      <c r="SPK493" s="106"/>
      <c r="SPL493" s="106"/>
      <c r="SPM493" s="106"/>
      <c r="SPN493" s="106"/>
      <c r="SPO493" s="106"/>
      <c r="SPP493" s="106"/>
      <c r="SPQ493" s="106"/>
      <c r="SPR493" s="106"/>
      <c r="SPS493" s="106"/>
      <c r="SPT493" s="106"/>
      <c r="SPU493" s="106"/>
      <c r="SPV493" s="106"/>
      <c r="SPW493" s="106"/>
      <c r="SPX493" s="106"/>
      <c r="SPY493" s="106"/>
      <c r="SPZ493" s="106"/>
      <c r="SQA493" s="106"/>
      <c r="SQB493" s="106"/>
      <c r="SQC493" s="106"/>
      <c r="SQD493" s="106"/>
      <c r="SQE493" s="106"/>
      <c r="SQF493" s="106"/>
      <c r="SQG493" s="106"/>
      <c r="SQH493" s="106"/>
      <c r="SQI493" s="106"/>
      <c r="SQJ493" s="106"/>
      <c r="SQK493" s="106"/>
      <c r="SQL493" s="106"/>
      <c r="SQM493" s="106"/>
      <c r="SQN493" s="106"/>
      <c r="SQO493" s="106"/>
      <c r="SQP493" s="106"/>
      <c r="SQQ493" s="106"/>
      <c r="SQR493" s="106"/>
      <c r="SQS493" s="106"/>
      <c r="SQT493" s="106"/>
      <c r="SQU493" s="106"/>
      <c r="SQV493" s="106"/>
      <c r="SQW493" s="106"/>
      <c r="SQX493" s="106"/>
      <c r="SQY493" s="106"/>
      <c r="SQZ493" s="106"/>
      <c r="SRA493" s="106"/>
      <c r="SRB493" s="106"/>
      <c r="SRC493" s="106"/>
      <c r="SRD493" s="106"/>
      <c r="SRE493" s="106"/>
      <c r="SRF493" s="106"/>
      <c r="SRG493" s="106"/>
      <c r="SRH493" s="106"/>
      <c r="SRI493" s="106"/>
      <c r="SRJ493" s="106"/>
      <c r="SRK493" s="106"/>
      <c r="SRL493" s="106"/>
      <c r="SRM493" s="106"/>
      <c r="SRN493" s="106"/>
      <c r="SRO493" s="106"/>
      <c r="SRP493" s="106"/>
      <c r="SRQ493" s="106"/>
      <c r="SRR493" s="106"/>
      <c r="SRS493" s="106"/>
      <c r="SRT493" s="106"/>
      <c r="SRU493" s="106"/>
      <c r="SRV493" s="106"/>
      <c r="SRW493" s="106"/>
      <c r="SRX493" s="106"/>
      <c r="SRY493" s="106"/>
      <c r="SRZ493" s="106"/>
      <c r="SSA493" s="106"/>
      <c r="SSB493" s="106"/>
      <c r="SSC493" s="106"/>
      <c r="SSD493" s="106"/>
      <c r="SSE493" s="106"/>
      <c r="SSF493" s="106"/>
      <c r="SSG493" s="106"/>
      <c r="SSH493" s="106"/>
      <c r="SSI493" s="106"/>
      <c r="SSJ493" s="106"/>
      <c r="SSK493" s="106"/>
      <c r="SSL493" s="106"/>
      <c r="SSM493" s="106"/>
      <c r="SSN493" s="106"/>
      <c r="SSO493" s="106"/>
      <c r="SSP493" s="106"/>
      <c r="SSQ493" s="106"/>
      <c r="SSR493" s="106"/>
      <c r="SSS493" s="106"/>
      <c r="SST493" s="106"/>
      <c r="SSU493" s="106"/>
      <c r="SSV493" s="106"/>
      <c r="SSW493" s="106"/>
      <c r="SSX493" s="106"/>
      <c r="SSY493" s="106"/>
      <c r="SSZ493" s="106"/>
      <c r="STA493" s="106"/>
      <c r="STB493" s="106"/>
      <c r="STC493" s="106"/>
      <c r="STD493" s="106"/>
      <c r="STE493" s="106"/>
      <c r="STF493" s="106"/>
      <c r="STG493" s="106"/>
      <c r="STH493" s="106"/>
      <c r="STI493" s="106"/>
      <c r="STJ493" s="106"/>
      <c r="STK493" s="106"/>
      <c r="STL493" s="106"/>
      <c r="STM493" s="106"/>
      <c r="STN493" s="106"/>
      <c r="STO493" s="106"/>
      <c r="STP493" s="106"/>
      <c r="STQ493" s="106"/>
      <c r="STR493" s="106"/>
      <c r="STS493" s="106"/>
      <c r="STT493" s="106"/>
      <c r="STU493" s="106"/>
      <c r="STV493" s="106"/>
      <c r="STW493" s="106"/>
      <c r="STX493" s="106"/>
      <c r="STY493" s="106"/>
      <c r="STZ493" s="106"/>
      <c r="SUA493" s="106"/>
      <c r="SUB493" s="106"/>
      <c r="SUC493" s="106"/>
      <c r="SUD493" s="106"/>
      <c r="SUE493" s="106"/>
      <c r="SUF493" s="106"/>
      <c r="SUG493" s="106"/>
      <c r="SUH493" s="106"/>
      <c r="SUI493" s="106"/>
      <c r="SUJ493" s="106"/>
      <c r="SUK493" s="106"/>
      <c r="SUL493" s="106"/>
      <c r="SUM493" s="106"/>
      <c r="SUN493" s="106"/>
      <c r="SUO493" s="106"/>
      <c r="SUP493" s="106"/>
      <c r="SUQ493" s="106"/>
      <c r="SUR493" s="106"/>
      <c r="SUS493" s="106"/>
      <c r="SUT493" s="106"/>
      <c r="SUU493" s="106"/>
      <c r="SUV493" s="106"/>
      <c r="SUW493" s="106"/>
      <c r="SUX493" s="106"/>
      <c r="SUY493" s="106"/>
      <c r="SUZ493" s="106"/>
      <c r="SVA493" s="106"/>
      <c r="SVB493" s="106"/>
      <c r="SVC493" s="106"/>
      <c r="SVD493" s="106"/>
      <c r="SVE493" s="106"/>
      <c r="SVF493" s="106"/>
      <c r="SVG493" s="106"/>
      <c r="SVH493" s="106"/>
      <c r="SVI493" s="106"/>
      <c r="SVJ493" s="106"/>
      <c r="SVK493" s="106"/>
      <c r="SVL493" s="106"/>
      <c r="SVM493" s="106"/>
      <c r="SVN493" s="106"/>
      <c r="SVO493" s="106"/>
      <c r="SVP493" s="106"/>
      <c r="SVQ493" s="106"/>
      <c r="SVR493" s="106"/>
      <c r="SVS493" s="106"/>
      <c r="SVT493" s="106"/>
      <c r="SVU493" s="106"/>
      <c r="SVV493" s="106"/>
      <c r="SVW493" s="106"/>
      <c r="SVX493" s="106"/>
      <c r="SVY493" s="106"/>
      <c r="SVZ493" s="106"/>
      <c r="SWA493" s="106"/>
      <c r="SWB493" s="106"/>
      <c r="SWC493" s="106"/>
      <c r="SWD493" s="106"/>
      <c r="SWE493" s="106"/>
      <c r="SWF493" s="106"/>
      <c r="SWG493" s="106"/>
      <c r="SWH493" s="106"/>
      <c r="SWI493" s="106"/>
      <c r="SWJ493" s="106"/>
      <c r="SWK493" s="106"/>
      <c r="SWL493" s="106"/>
      <c r="SWM493" s="106"/>
      <c r="SWN493" s="106"/>
      <c r="SWO493" s="106"/>
      <c r="SWP493" s="106"/>
      <c r="SWQ493" s="106"/>
      <c r="SWR493" s="106"/>
      <c r="SWS493" s="106"/>
      <c r="SWT493" s="106"/>
      <c r="SWU493" s="106"/>
      <c r="SWV493" s="106"/>
      <c r="SWW493" s="106"/>
      <c r="SWX493" s="106"/>
      <c r="SWY493" s="106"/>
      <c r="SWZ493" s="106"/>
      <c r="SXA493" s="106"/>
      <c r="SXB493" s="106"/>
      <c r="SXC493" s="106"/>
      <c r="SXD493" s="106"/>
      <c r="SXE493" s="106"/>
      <c r="SXF493" s="106"/>
      <c r="SXG493" s="106"/>
      <c r="SXH493" s="106"/>
      <c r="SXI493" s="106"/>
      <c r="SXJ493" s="106"/>
      <c r="SXK493" s="106"/>
      <c r="SXL493" s="106"/>
      <c r="SXM493" s="106"/>
      <c r="SXN493" s="106"/>
      <c r="SXO493" s="106"/>
      <c r="SXP493" s="106"/>
      <c r="SXQ493" s="106"/>
      <c r="SXR493" s="106"/>
      <c r="SXS493" s="106"/>
      <c r="SXT493" s="106"/>
      <c r="SXU493" s="106"/>
      <c r="SXV493" s="106"/>
      <c r="SXW493" s="106"/>
      <c r="SXX493" s="106"/>
      <c r="SXY493" s="106"/>
      <c r="SXZ493" s="106"/>
      <c r="SYA493" s="106"/>
      <c r="SYB493" s="106"/>
      <c r="SYC493" s="106"/>
      <c r="SYD493" s="106"/>
      <c r="SYE493" s="106"/>
      <c r="SYF493" s="106"/>
      <c r="SYG493" s="106"/>
      <c r="SYH493" s="106"/>
      <c r="SYI493" s="106"/>
      <c r="SYJ493" s="106"/>
      <c r="SYK493" s="106"/>
      <c r="SYL493" s="106"/>
      <c r="SYM493" s="106"/>
      <c r="SYN493" s="106"/>
      <c r="SYO493" s="106"/>
      <c r="SYP493" s="106"/>
      <c r="SYQ493" s="106"/>
      <c r="SYR493" s="106"/>
      <c r="SYS493" s="106"/>
      <c r="SYT493" s="106"/>
      <c r="SYU493" s="106"/>
      <c r="SYV493" s="106"/>
      <c r="SYW493" s="106"/>
      <c r="SYX493" s="106"/>
      <c r="SYY493" s="106"/>
      <c r="SYZ493" s="106"/>
      <c r="SZA493" s="106"/>
      <c r="SZB493" s="106"/>
      <c r="SZC493" s="106"/>
      <c r="SZD493" s="106"/>
      <c r="SZE493" s="106"/>
      <c r="SZF493" s="106"/>
      <c r="SZG493" s="106"/>
      <c r="SZH493" s="106"/>
      <c r="SZI493" s="106"/>
      <c r="SZJ493" s="106"/>
      <c r="SZK493" s="106"/>
      <c r="SZL493" s="106"/>
      <c r="SZM493" s="106"/>
      <c r="SZN493" s="106"/>
      <c r="SZO493" s="106"/>
      <c r="SZP493" s="106"/>
      <c r="SZQ493" s="106"/>
      <c r="SZR493" s="106"/>
      <c r="SZS493" s="106"/>
      <c r="SZT493" s="106"/>
      <c r="SZU493" s="106"/>
      <c r="SZV493" s="106"/>
      <c r="SZW493" s="106"/>
      <c r="SZX493" s="106"/>
      <c r="SZY493" s="106"/>
      <c r="SZZ493" s="106"/>
      <c r="TAA493" s="106"/>
      <c r="TAB493" s="106"/>
      <c r="TAC493" s="106"/>
      <c r="TAD493" s="106"/>
      <c r="TAE493" s="106"/>
      <c r="TAF493" s="106"/>
      <c r="TAG493" s="106"/>
      <c r="TAH493" s="106"/>
      <c r="TAI493" s="106"/>
      <c r="TAJ493" s="106"/>
      <c r="TAK493" s="106"/>
      <c r="TAL493" s="106"/>
      <c r="TAM493" s="106"/>
      <c r="TAN493" s="106"/>
      <c r="TAO493" s="106"/>
      <c r="TAP493" s="106"/>
      <c r="TAQ493" s="106"/>
      <c r="TAR493" s="106"/>
      <c r="TAS493" s="106"/>
      <c r="TAT493" s="106"/>
      <c r="TAU493" s="106"/>
      <c r="TAV493" s="106"/>
      <c r="TAW493" s="106"/>
      <c r="TAX493" s="106"/>
      <c r="TAY493" s="106"/>
      <c r="TAZ493" s="106"/>
      <c r="TBA493" s="106"/>
      <c r="TBB493" s="106"/>
      <c r="TBC493" s="106"/>
      <c r="TBD493" s="106"/>
      <c r="TBE493" s="106"/>
      <c r="TBF493" s="106"/>
      <c r="TBG493" s="106"/>
      <c r="TBH493" s="106"/>
      <c r="TBI493" s="106"/>
      <c r="TBJ493" s="106"/>
      <c r="TBK493" s="106"/>
      <c r="TBL493" s="106"/>
      <c r="TBM493" s="106"/>
      <c r="TBN493" s="106"/>
      <c r="TBO493" s="106"/>
      <c r="TBP493" s="106"/>
      <c r="TBQ493" s="106"/>
      <c r="TBR493" s="106"/>
      <c r="TBS493" s="106"/>
      <c r="TBT493" s="106"/>
      <c r="TBU493" s="106"/>
      <c r="TBV493" s="106"/>
      <c r="TBW493" s="106"/>
      <c r="TBX493" s="106"/>
      <c r="TBY493" s="106"/>
      <c r="TBZ493" s="106"/>
      <c r="TCA493" s="106"/>
      <c r="TCB493" s="106"/>
      <c r="TCC493" s="106"/>
      <c r="TCD493" s="106"/>
      <c r="TCE493" s="106"/>
      <c r="TCF493" s="106"/>
      <c r="TCG493" s="106"/>
      <c r="TCH493" s="106"/>
      <c r="TCI493" s="106"/>
      <c r="TCJ493" s="106"/>
      <c r="TCK493" s="106"/>
      <c r="TCL493" s="106"/>
      <c r="TCM493" s="106"/>
      <c r="TCN493" s="106"/>
      <c r="TCO493" s="106"/>
      <c r="TCP493" s="106"/>
      <c r="TCQ493" s="106"/>
      <c r="TCR493" s="106"/>
      <c r="TCS493" s="106"/>
      <c r="TCT493" s="106"/>
      <c r="TCU493" s="106"/>
      <c r="TCV493" s="106"/>
      <c r="TCW493" s="106"/>
      <c r="TCX493" s="106"/>
      <c r="TCY493" s="106"/>
      <c r="TCZ493" s="106"/>
      <c r="TDA493" s="106"/>
      <c r="TDB493" s="106"/>
      <c r="TDC493" s="106"/>
      <c r="TDD493" s="106"/>
      <c r="TDE493" s="106"/>
      <c r="TDF493" s="106"/>
      <c r="TDG493" s="106"/>
      <c r="TDH493" s="106"/>
      <c r="TDI493" s="106"/>
      <c r="TDJ493" s="106"/>
      <c r="TDK493" s="106"/>
      <c r="TDL493" s="106"/>
      <c r="TDM493" s="106"/>
      <c r="TDN493" s="106"/>
      <c r="TDO493" s="106"/>
      <c r="TDP493" s="106"/>
      <c r="TDQ493" s="106"/>
      <c r="TDR493" s="106"/>
      <c r="TDS493" s="106"/>
      <c r="TDT493" s="106"/>
      <c r="TDU493" s="106"/>
      <c r="TDV493" s="106"/>
      <c r="TDW493" s="106"/>
      <c r="TDX493" s="106"/>
      <c r="TDY493" s="106"/>
      <c r="TDZ493" s="106"/>
      <c r="TEA493" s="106"/>
      <c r="TEB493" s="106"/>
      <c r="TEC493" s="106"/>
      <c r="TED493" s="106"/>
      <c r="TEE493" s="106"/>
      <c r="TEF493" s="106"/>
      <c r="TEG493" s="106"/>
      <c r="TEH493" s="106"/>
      <c r="TEI493" s="106"/>
      <c r="TEJ493" s="106"/>
      <c r="TEK493" s="106"/>
      <c r="TEL493" s="106"/>
      <c r="TEM493" s="106"/>
      <c r="TEN493" s="106"/>
      <c r="TEO493" s="106"/>
      <c r="TEP493" s="106"/>
      <c r="TEQ493" s="106"/>
      <c r="TER493" s="106"/>
      <c r="TES493" s="106"/>
      <c r="TET493" s="106"/>
      <c r="TEU493" s="106"/>
      <c r="TEV493" s="106"/>
      <c r="TEW493" s="106"/>
      <c r="TEX493" s="106"/>
      <c r="TEY493" s="106"/>
      <c r="TEZ493" s="106"/>
      <c r="TFA493" s="106"/>
      <c r="TFB493" s="106"/>
      <c r="TFC493" s="106"/>
      <c r="TFD493" s="106"/>
      <c r="TFE493" s="106"/>
      <c r="TFF493" s="106"/>
      <c r="TFG493" s="106"/>
      <c r="TFH493" s="106"/>
      <c r="TFI493" s="106"/>
      <c r="TFJ493" s="106"/>
      <c r="TFK493" s="106"/>
      <c r="TFL493" s="106"/>
      <c r="TFM493" s="106"/>
      <c r="TFN493" s="106"/>
      <c r="TFO493" s="106"/>
      <c r="TFP493" s="106"/>
      <c r="TFQ493" s="106"/>
      <c r="TFR493" s="106"/>
      <c r="TFS493" s="106"/>
      <c r="TFT493" s="106"/>
      <c r="TFU493" s="106"/>
      <c r="TFV493" s="106"/>
      <c r="TFW493" s="106"/>
      <c r="TFX493" s="106"/>
      <c r="TFY493" s="106"/>
      <c r="TFZ493" s="106"/>
      <c r="TGA493" s="106"/>
      <c r="TGB493" s="106"/>
      <c r="TGC493" s="106"/>
      <c r="TGD493" s="106"/>
      <c r="TGE493" s="106"/>
      <c r="TGF493" s="106"/>
      <c r="TGG493" s="106"/>
      <c r="TGH493" s="106"/>
      <c r="TGI493" s="106"/>
      <c r="TGJ493" s="106"/>
      <c r="TGK493" s="106"/>
      <c r="TGL493" s="106"/>
      <c r="TGM493" s="106"/>
      <c r="TGN493" s="106"/>
      <c r="TGO493" s="106"/>
      <c r="TGP493" s="106"/>
      <c r="TGQ493" s="106"/>
      <c r="TGR493" s="106"/>
      <c r="TGS493" s="106"/>
      <c r="TGT493" s="106"/>
      <c r="TGU493" s="106"/>
      <c r="TGV493" s="106"/>
      <c r="TGW493" s="106"/>
      <c r="TGX493" s="106"/>
      <c r="TGY493" s="106"/>
      <c r="TGZ493" s="106"/>
      <c r="THA493" s="106"/>
      <c r="THB493" s="106"/>
      <c r="THC493" s="106"/>
      <c r="THD493" s="106"/>
      <c r="THE493" s="106"/>
      <c r="THF493" s="106"/>
      <c r="THG493" s="106"/>
      <c r="THH493" s="106"/>
      <c r="THI493" s="106"/>
      <c r="THJ493" s="106"/>
      <c r="THK493" s="106"/>
      <c r="THL493" s="106"/>
      <c r="THM493" s="106"/>
      <c r="THN493" s="106"/>
      <c r="THO493" s="106"/>
      <c r="THP493" s="106"/>
      <c r="THQ493" s="106"/>
      <c r="THR493" s="106"/>
      <c r="THS493" s="106"/>
      <c r="THT493" s="106"/>
      <c r="THU493" s="106"/>
      <c r="THV493" s="106"/>
      <c r="THW493" s="106"/>
      <c r="THX493" s="106"/>
      <c r="THY493" s="106"/>
      <c r="THZ493" s="106"/>
      <c r="TIA493" s="106"/>
      <c r="TIB493" s="106"/>
      <c r="TIC493" s="106"/>
      <c r="TID493" s="106"/>
      <c r="TIE493" s="106"/>
      <c r="TIF493" s="106"/>
      <c r="TIG493" s="106"/>
      <c r="TIH493" s="106"/>
      <c r="TII493" s="106"/>
      <c r="TIJ493" s="106"/>
      <c r="TIK493" s="106"/>
      <c r="TIL493" s="106"/>
      <c r="TIM493" s="106"/>
      <c r="TIN493" s="106"/>
      <c r="TIO493" s="106"/>
      <c r="TIP493" s="106"/>
      <c r="TIQ493" s="106"/>
      <c r="TIR493" s="106"/>
      <c r="TIS493" s="106"/>
      <c r="TIT493" s="106"/>
      <c r="TIU493" s="106"/>
      <c r="TIV493" s="106"/>
      <c r="TIW493" s="106"/>
      <c r="TIX493" s="106"/>
      <c r="TIY493" s="106"/>
      <c r="TIZ493" s="106"/>
      <c r="TJA493" s="106"/>
      <c r="TJB493" s="106"/>
      <c r="TJC493" s="106"/>
      <c r="TJD493" s="106"/>
      <c r="TJE493" s="106"/>
      <c r="TJF493" s="106"/>
      <c r="TJG493" s="106"/>
      <c r="TJH493" s="106"/>
      <c r="TJI493" s="106"/>
      <c r="TJJ493" s="106"/>
      <c r="TJK493" s="106"/>
      <c r="TJL493" s="106"/>
      <c r="TJM493" s="106"/>
      <c r="TJN493" s="106"/>
      <c r="TJO493" s="106"/>
      <c r="TJP493" s="106"/>
      <c r="TJQ493" s="106"/>
      <c r="TJR493" s="106"/>
      <c r="TJS493" s="106"/>
      <c r="TJT493" s="106"/>
      <c r="TJU493" s="106"/>
      <c r="TJV493" s="106"/>
      <c r="TJW493" s="106"/>
      <c r="TJX493" s="106"/>
      <c r="TJY493" s="106"/>
      <c r="TJZ493" s="106"/>
      <c r="TKA493" s="106"/>
      <c r="TKB493" s="106"/>
      <c r="TKC493" s="106"/>
      <c r="TKD493" s="106"/>
      <c r="TKE493" s="106"/>
      <c r="TKF493" s="106"/>
      <c r="TKG493" s="106"/>
      <c r="TKH493" s="106"/>
      <c r="TKI493" s="106"/>
      <c r="TKJ493" s="106"/>
      <c r="TKK493" s="106"/>
      <c r="TKL493" s="106"/>
      <c r="TKM493" s="106"/>
      <c r="TKN493" s="106"/>
      <c r="TKO493" s="106"/>
      <c r="TKP493" s="106"/>
      <c r="TKQ493" s="106"/>
      <c r="TKR493" s="106"/>
      <c r="TKS493" s="106"/>
      <c r="TKT493" s="106"/>
      <c r="TKU493" s="106"/>
      <c r="TKV493" s="106"/>
      <c r="TKW493" s="106"/>
      <c r="TKX493" s="106"/>
      <c r="TKY493" s="106"/>
      <c r="TKZ493" s="106"/>
      <c r="TLA493" s="106"/>
      <c r="TLB493" s="106"/>
      <c r="TLC493" s="106"/>
      <c r="TLD493" s="106"/>
      <c r="TLE493" s="106"/>
      <c r="TLF493" s="106"/>
      <c r="TLG493" s="106"/>
      <c r="TLH493" s="106"/>
      <c r="TLI493" s="106"/>
      <c r="TLJ493" s="106"/>
      <c r="TLK493" s="106"/>
      <c r="TLL493" s="106"/>
      <c r="TLM493" s="106"/>
      <c r="TLN493" s="106"/>
      <c r="TLO493" s="106"/>
      <c r="TLP493" s="106"/>
      <c r="TLQ493" s="106"/>
      <c r="TLR493" s="106"/>
      <c r="TLS493" s="106"/>
      <c r="TLT493" s="106"/>
      <c r="TLU493" s="106"/>
      <c r="TLV493" s="106"/>
      <c r="TLW493" s="106"/>
      <c r="TLX493" s="106"/>
      <c r="TLY493" s="106"/>
      <c r="TLZ493" s="106"/>
      <c r="TMA493" s="106"/>
      <c r="TMB493" s="106"/>
      <c r="TMC493" s="106"/>
      <c r="TMD493" s="106"/>
      <c r="TME493" s="106"/>
      <c r="TMF493" s="106"/>
      <c r="TMG493" s="106"/>
      <c r="TMH493" s="106"/>
      <c r="TMI493" s="106"/>
      <c r="TMJ493" s="106"/>
      <c r="TMK493" s="106"/>
      <c r="TML493" s="106"/>
      <c r="TMM493" s="106"/>
      <c r="TMN493" s="106"/>
      <c r="TMO493" s="106"/>
      <c r="TMP493" s="106"/>
      <c r="TMQ493" s="106"/>
      <c r="TMR493" s="106"/>
      <c r="TMS493" s="106"/>
      <c r="TMT493" s="106"/>
      <c r="TMU493" s="106"/>
      <c r="TMV493" s="106"/>
      <c r="TMW493" s="106"/>
      <c r="TMX493" s="106"/>
      <c r="TMY493" s="106"/>
      <c r="TMZ493" s="106"/>
      <c r="TNA493" s="106"/>
      <c r="TNB493" s="106"/>
      <c r="TNC493" s="106"/>
      <c r="TND493" s="106"/>
      <c r="TNE493" s="106"/>
      <c r="TNF493" s="106"/>
      <c r="TNG493" s="106"/>
      <c r="TNH493" s="106"/>
      <c r="TNI493" s="106"/>
      <c r="TNJ493" s="106"/>
      <c r="TNK493" s="106"/>
      <c r="TNL493" s="106"/>
      <c r="TNM493" s="106"/>
      <c r="TNN493" s="106"/>
      <c r="TNO493" s="106"/>
      <c r="TNP493" s="106"/>
      <c r="TNQ493" s="106"/>
      <c r="TNR493" s="106"/>
      <c r="TNS493" s="106"/>
      <c r="TNT493" s="106"/>
      <c r="TNU493" s="106"/>
      <c r="TNV493" s="106"/>
      <c r="TNW493" s="106"/>
      <c r="TNX493" s="106"/>
      <c r="TNY493" s="106"/>
      <c r="TNZ493" s="106"/>
      <c r="TOA493" s="106"/>
      <c r="TOB493" s="106"/>
      <c r="TOC493" s="106"/>
      <c r="TOD493" s="106"/>
      <c r="TOE493" s="106"/>
      <c r="TOF493" s="106"/>
      <c r="TOG493" s="106"/>
      <c r="TOH493" s="106"/>
      <c r="TOI493" s="106"/>
      <c r="TOJ493" s="106"/>
      <c r="TOK493" s="106"/>
      <c r="TOL493" s="106"/>
      <c r="TOM493" s="106"/>
      <c r="TON493" s="106"/>
      <c r="TOO493" s="106"/>
      <c r="TOP493" s="106"/>
      <c r="TOQ493" s="106"/>
      <c r="TOR493" s="106"/>
      <c r="TOS493" s="106"/>
      <c r="TOT493" s="106"/>
      <c r="TOU493" s="106"/>
      <c r="TOV493" s="106"/>
      <c r="TOW493" s="106"/>
      <c r="TOX493" s="106"/>
      <c r="TOY493" s="106"/>
      <c r="TOZ493" s="106"/>
      <c r="TPA493" s="106"/>
      <c r="TPB493" s="106"/>
      <c r="TPC493" s="106"/>
      <c r="TPD493" s="106"/>
      <c r="TPE493" s="106"/>
      <c r="TPF493" s="106"/>
      <c r="TPG493" s="106"/>
      <c r="TPH493" s="106"/>
      <c r="TPI493" s="106"/>
      <c r="TPJ493" s="106"/>
      <c r="TPK493" s="106"/>
      <c r="TPL493" s="106"/>
      <c r="TPM493" s="106"/>
      <c r="TPN493" s="106"/>
      <c r="TPO493" s="106"/>
      <c r="TPP493" s="106"/>
      <c r="TPQ493" s="106"/>
      <c r="TPR493" s="106"/>
      <c r="TPS493" s="106"/>
      <c r="TPT493" s="106"/>
      <c r="TPU493" s="106"/>
      <c r="TPV493" s="106"/>
      <c r="TPW493" s="106"/>
      <c r="TPX493" s="106"/>
      <c r="TPY493" s="106"/>
      <c r="TPZ493" s="106"/>
      <c r="TQA493" s="106"/>
      <c r="TQB493" s="106"/>
      <c r="TQC493" s="106"/>
      <c r="TQD493" s="106"/>
      <c r="TQE493" s="106"/>
      <c r="TQF493" s="106"/>
      <c r="TQG493" s="106"/>
      <c r="TQH493" s="106"/>
      <c r="TQI493" s="106"/>
      <c r="TQJ493" s="106"/>
      <c r="TQK493" s="106"/>
      <c r="TQL493" s="106"/>
      <c r="TQM493" s="106"/>
      <c r="TQN493" s="106"/>
      <c r="TQO493" s="106"/>
      <c r="TQP493" s="106"/>
      <c r="TQQ493" s="106"/>
      <c r="TQR493" s="106"/>
      <c r="TQS493" s="106"/>
      <c r="TQT493" s="106"/>
      <c r="TQU493" s="106"/>
      <c r="TQV493" s="106"/>
      <c r="TQW493" s="106"/>
      <c r="TQX493" s="106"/>
      <c r="TQY493" s="106"/>
      <c r="TQZ493" s="106"/>
      <c r="TRA493" s="106"/>
      <c r="TRB493" s="106"/>
      <c r="TRC493" s="106"/>
      <c r="TRD493" s="106"/>
      <c r="TRE493" s="106"/>
      <c r="TRF493" s="106"/>
      <c r="TRG493" s="106"/>
      <c r="TRH493" s="106"/>
      <c r="TRI493" s="106"/>
      <c r="TRJ493" s="106"/>
      <c r="TRK493" s="106"/>
      <c r="TRL493" s="106"/>
      <c r="TRM493" s="106"/>
      <c r="TRN493" s="106"/>
      <c r="TRO493" s="106"/>
      <c r="TRP493" s="106"/>
      <c r="TRQ493" s="106"/>
      <c r="TRR493" s="106"/>
      <c r="TRS493" s="106"/>
      <c r="TRT493" s="106"/>
      <c r="TRU493" s="106"/>
      <c r="TRV493" s="106"/>
      <c r="TRW493" s="106"/>
      <c r="TRX493" s="106"/>
      <c r="TRY493" s="106"/>
      <c r="TRZ493" s="106"/>
      <c r="TSA493" s="106"/>
      <c r="TSB493" s="106"/>
      <c r="TSC493" s="106"/>
      <c r="TSD493" s="106"/>
      <c r="TSE493" s="106"/>
      <c r="TSF493" s="106"/>
      <c r="TSG493" s="106"/>
      <c r="TSH493" s="106"/>
      <c r="TSI493" s="106"/>
      <c r="TSJ493" s="106"/>
      <c r="TSK493" s="106"/>
      <c r="TSL493" s="106"/>
      <c r="TSM493" s="106"/>
      <c r="TSN493" s="106"/>
      <c r="TSO493" s="106"/>
      <c r="TSP493" s="106"/>
      <c r="TSQ493" s="106"/>
      <c r="TSR493" s="106"/>
      <c r="TSS493" s="106"/>
      <c r="TST493" s="106"/>
      <c r="TSU493" s="106"/>
      <c r="TSV493" s="106"/>
      <c r="TSW493" s="106"/>
      <c r="TSX493" s="106"/>
      <c r="TSY493" s="106"/>
      <c r="TSZ493" s="106"/>
      <c r="TTA493" s="106"/>
      <c r="TTB493" s="106"/>
      <c r="TTC493" s="106"/>
      <c r="TTD493" s="106"/>
      <c r="TTE493" s="106"/>
      <c r="TTF493" s="106"/>
      <c r="TTG493" s="106"/>
      <c r="TTH493" s="106"/>
      <c r="TTI493" s="106"/>
      <c r="TTJ493" s="106"/>
      <c r="TTK493" s="106"/>
      <c r="TTL493" s="106"/>
      <c r="TTM493" s="106"/>
      <c r="TTN493" s="106"/>
      <c r="TTO493" s="106"/>
      <c r="TTP493" s="106"/>
      <c r="TTQ493" s="106"/>
      <c r="TTR493" s="106"/>
      <c r="TTS493" s="106"/>
      <c r="TTT493" s="106"/>
      <c r="TTU493" s="106"/>
      <c r="TTV493" s="106"/>
      <c r="TTW493" s="106"/>
      <c r="TTX493" s="106"/>
      <c r="TTY493" s="106"/>
      <c r="TTZ493" s="106"/>
      <c r="TUA493" s="106"/>
      <c r="TUB493" s="106"/>
      <c r="TUC493" s="106"/>
      <c r="TUD493" s="106"/>
      <c r="TUE493" s="106"/>
      <c r="TUF493" s="106"/>
      <c r="TUG493" s="106"/>
      <c r="TUH493" s="106"/>
      <c r="TUI493" s="106"/>
      <c r="TUJ493" s="106"/>
      <c r="TUK493" s="106"/>
      <c r="TUL493" s="106"/>
      <c r="TUM493" s="106"/>
      <c r="TUN493" s="106"/>
      <c r="TUO493" s="106"/>
      <c r="TUP493" s="106"/>
      <c r="TUQ493" s="106"/>
      <c r="TUR493" s="106"/>
      <c r="TUS493" s="106"/>
      <c r="TUT493" s="106"/>
      <c r="TUU493" s="106"/>
      <c r="TUV493" s="106"/>
      <c r="TUW493" s="106"/>
      <c r="TUX493" s="106"/>
      <c r="TUY493" s="106"/>
      <c r="TUZ493" s="106"/>
      <c r="TVA493" s="106"/>
      <c r="TVB493" s="106"/>
      <c r="TVC493" s="106"/>
      <c r="TVD493" s="106"/>
      <c r="TVE493" s="106"/>
      <c r="TVF493" s="106"/>
      <c r="TVG493" s="106"/>
      <c r="TVH493" s="106"/>
      <c r="TVI493" s="106"/>
      <c r="TVJ493" s="106"/>
      <c r="TVK493" s="106"/>
      <c r="TVL493" s="106"/>
      <c r="TVM493" s="106"/>
      <c r="TVN493" s="106"/>
      <c r="TVO493" s="106"/>
      <c r="TVP493" s="106"/>
      <c r="TVQ493" s="106"/>
      <c r="TVR493" s="106"/>
      <c r="TVS493" s="106"/>
      <c r="TVT493" s="106"/>
      <c r="TVU493" s="106"/>
      <c r="TVV493" s="106"/>
      <c r="TVW493" s="106"/>
      <c r="TVX493" s="106"/>
      <c r="TVY493" s="106"/>
      <c r="TVZ493" s="106"/>
      <c r="TWA493" s="106"/>
      <c r="TWB493" s="106"/>
      <c r="TWC493" s="106"/>
      <c r="TWD493" s="106"/>
      <c r="TWE493" s="106"/>
      <c r="TWF493" s="106"/>
      <c r="TWG493" s="106"/>
      <c r="TWH493" s="106"/>
      <c r="TWI493" s="106"/>
      <c r="TWJ493" s="106"/>
      <c r="TWK493" s="106"/>
      <c r="TWL493" s="106"/>
      <c r="TWM493" s="106"/>
      <c r="TWN493" s="106"/>
      <c r="TWO493" s="106"/>
      <c r="TWP493" s="106"/>
      <c r="TWQ493" s="106"/>
      <c r="TWR493" s="106"/>
      <c r="TWS493" s="106"/>
      <c r="TWT493" s="106"/>
      <c r="TWU493" s="106"/>
      <c r="TWV493" s="106"/>
      <c r="TWW493" s="106"/>
      <c r="TWX493" s="106"/>
      <c r="TWY493" s="106"/>
      <c r="TWZ493" s="106"/>
      <c r="TXA493" s="106"/>
      <c r="TXB493" s="106"/>
      <c r="TXC493" s="106"/>
      <c r="TXD493" s="106"/>
      <c r="TXE493" s="106"/>
      <c r="TXF493" s="106"/>
      <c r="TXG493" s="106"/>
      <c r="TXH493" s="106"/>
      <c r="TXI493" s="106"/>
      <c r="TXJ493" s="106"/>
      <c r="TXK493" s="106"/>
      <c r="TXL493" s="106"/>
      <c r="TXM493" s="106"/>
      <c r="TXN493" s="106"/>
      <c r="TXO493" s="106"/>
      <c r="TXP493" s="106"/>
      <c r="TXQ493" s="106"/>
      <c r="TXR493" s="106"/>
      <c r="TXS493" s="106"/>
      <c r="TXT493" s="106"/>
      <c r="TXU493" s="106"/>
      <c r="TXV493" s="106"/>
      <c r="TXW493" s="106"/>
      <c r="TXX493" s="106"/>
      <c r="TXY493" s="106"/>
      <c r="TXZ493" s="106"/>
      <c r="TYA493" s="106"/>
      <c r="TYB493" s="106"/>
      <c r="TYC493" s="106"/>
      <c r="TYD493" s="106"/>
      <c r="TYE493" s="106"/>
      <c r="TYF493" s="106"/>
      <c r="TYG493" s="106"/>
      <c r="TYH493" s="106"/>
      <c r="TYI493" s="106"/>
      <c r="TYJ493" s="106"/>
      <c r="TYK493" s="106"/>
      <c r="TYL493" s="106"/>
      <c r="TYM493" s="106"/>
      <c r="TYN493" s="106"/>
      <c r="TYO493" s="106"/>
      <c r="TYP493" s="106"/>
      <c r="TYQ493" s="106"/>
      <c r="TYR493" s="106"/>
      <c r="TYS493" s="106"/>
      <c r="TYT493" s="106"/>
      <c r="TYU493" s="106"/>
      <c r="TYV493" s="106"/>
      <c r="TYW493" s="106"/>
      <c r="TYX493" s="106"/>
      <c r="TYY493" s="106"/>
      <c r="TYZ493" s="106"/>
      <c r="TZA493" s="106"/>
      <c r="TZB493" s="106"/>
      <c r="TZC493" s="106"/>
      <c r="TZD493" s="106"/>
      <c r="TZE493" s="106"/>
      <c r="TZF493" s="106"/>
      <c r="TZG493" s="106"/>
      <c r="TZH493" s="106"/>
      <c r="TZI493" s="106"/>
      <c r="TZJ493" s="106"/>
      <c r="TZK493" s="106"/>
      <c r="TZL493" s="106"/>
      <c r="TZM493" s="106"/>
      <c r="TZN493" s="106"/>
      <c r="TZO493" s="106"/>
      <c r="TZP493" s="106"/>
      <c r="TZQ493" s="106"/>
      <c r="TZR493" s="106"/>
      <c r="TZS493" s="106"/>
      <c r="TZT493" s="106"/>
      <c r="TZU493" s="106"/>
      <c r="TZV493" s="106"/>
      <c r="TZW493" s="106"/>
      <c r="TZX493" s="106"/>
      <c r="TZY493" s="106"/>
      <c r="TZZ493" s="106"/>
      <c r="UAA493" s="106"/>
      <c r="UAB493" s="106"/>
      <c r="UAC493" s="106"/>
      <c r="UAD493" s="106"/>
      <c r="UAE493" s="106"/>
      <c r="UAF493" s="106"/>
      <c r="UAG493" s="106"/>
      <c r="UAH493" s="106"/>
      <c r="UAI493" s="106"/>
      <c r="UAJ493" s="106"/>
      <c r="UAK493" s="106"/>
      <c r="UAL493" s="106"/>
      <c r="UAM493" s="106"/>
      <c r="UAN493" s="106"/>
      <c r="UAO493" s="106"/>
      <c r="UAP493" s="106"/>
      <c r="UAQ493" s="106"/>
      <c r="UAR493" s="106"/>
      <c r="UAS493" s="106"/>
      <c r="UAT493" s="106"/>
      <c r="UAU493" s="106"/>
      <c r="UAV493" s="106"/>
      <c r="UAW493" s="106"/>
      <c r="UAX493" s="106"/>
      <c r="UAY493" s="106"/>
      <c r="UAZ493" s="106"/>
      <c r="UBA493" s="106"/>
      <c r="UBB493" s="106"/>
      <c r="UBC493" s="106"/>
      <c r="UBD493" s="106"/>
      <c r="UBE493" s="106"/>
      <c r="UBF493" s="106"/>
      <c r="UBG493" s="106"/>
      <c r="UBH493" s="106"/>
      <c r="UBI493" s="106"/>
      <c r="UBJ493" s="106"/>
      <c r="UBK493" s="106"/>
      <c r="UBL493" s="106"/>
      <c r="UBM493" s="106"/>
      <c r="UBN493" s="106"/>
      <c r="UBO493" s="106"/>
      <c r="UBP493" s="106"/>
      <c r="UBQ493" s="106"/>
      <c r="UBR493" s="106"/>
      <c r="UBS493" s="106"/>
      <c r="UBT493" s="106"/>
      <c r="UBU493" s="106"/>
      <c r="UBV493" s="106"/>
      <c r="UBW493" s="106"/>
      <c r="UBX493" s="106"/>
      <c r="UBY493" s="106"/>
      <c r="UBZ493" s="106"/>
      <c r="UCA493" s="106"/>
      <c r="UCB493" s="106"/>
      <c r="UCC493" s="106"/>
      <c r="UCD493" s="106"/>
      <c r="UCE493" s="106"/>
      <c r="UCF493" s="106"/>
      <c r="UCG493" s="106"/>
      <c r="UCH493" s="106"/>
      <c r="UCI493" s="106"/>
      <c r="UCJ493" s="106"/>
      <c r="UCK493" s="106"/>
      <c r="UCL493" s="106"/>
      <c r="UCM493" s="106"/>
      <c r="UCN493" s="106"/>
      <c r="UCO493" s="106"/>
      <c r="UCP493" s="106"/>
      <c r="UCQ493" s="106"/>
      <c r="UCR493" s="106"/>
      <c r="UCS493" s="106"/>
      <c r="UCT493" s="106"/>
      <c r="UCU493" s="106"/>
      <c r="UCV493" s="106"/>
      <c r="UCW493" s="106"/>
      <c r="UCX493" s="106"/>
      <c r="UCY493" s="106"/>
      <c r="UCZ493" s="106"/>
      <c r="UDA493" s="106"/>
      <c r="UDB493" s="106"/>
      <c r="UDC493" s="106"/>
      <c r="UDD493" s="106"/>
      <c r="UDE493" s="106"/>
      <c r="UDF493" s="106"/>
      <c r="UDG493" s="106"/>
      <c r="UDH493" s="106"/>
      <c r="UDI493" s="106"/>
      <c r="UDJ493" s="106"/>
      <c r="UDK493" s="106"/>
      <c r="UDL493" s="106"/>
      <c r="UDM493" s="106"/>
      <c r="UDN493" s="106"/>
      <c r="UDO493" s="106"/>
      <c r="UDP493" s="106"/>
      <c r="UDQ493" s="106"/>
      <c r="UDR493" s="106"/>
      <c r="UDS493" s="106"/>
      <c r="UDT493" s="106"/>
      <c r="UDU493" s="106"/>
      <c r="UDV493" s="106"/>
      <c r="UDW493" s="106"/>
      <c r="UDX493" s="106"/>
      <c r="UDY493" s="106"/>
      <c r="UDZ493" s="106"/>
      <c r="UEA493" s="106"/>
      <c r="UEB493" s="106"/>
      <c r="UEC493" s="106"/>
      <c r="UED493" s="106"/>
      <c r="UEE493" s="106"/>
      <c r="UEF493" s="106"/>
      <c r="UEG493" s="106"/>
      <c r="UEH493" s="106"/>
      <c r="UEI493" s="106"/>
      <c r="UEJ493" s="106"/>
      <c r="UEK493" s="106"/>
      <c r="UEL493" s="106"/>
      <c r="UEM493" s="106"/>
      <c r="UEN493" s="106"/>
      <c r="UEO493" s="106"/>
      <c r="UEP493" s="106"/>
      <c r="UEQ493" s="106"/>
      <c r="UER493" s="106"/>
      <c r="UES493" s="106"/>
      <c r="UET493" s="106"/>
      <c r="UEU493" s="106"/>
      <c r="UEV493" s="106"/>
      <c r="UEW493" s="106"/>
      <c r="UEX493" s="106"/>
      <c r="UEY493" s="106"/>
      <c r="UEZ493" s="106"/>
      <c r="UFA493" s="106"/>
      <c r="UFB493" s="106"/>
      <c r="UFC493" s="106"/>
      <c r="UFD493" s="106"/>
      <c r="UFE493" s="106"/>
      <c r="UFF493" s="106"/>
      <c r="UFG493" s="106"/>
      <c r="UFH493" s="106"/>
      <c r="UFI493" s="106"/>
      <c r="UFJ493" s="106"/>
      <c r="UFK493" s="106"/>
      <c r="UFL493" s="106"/>
      <c r="UFM493" s="106"/>
      <c r="UFN493" s="106"/>
      <c r="UFO493" s="106"/>
      <c r="UFP493" s="106"/>
      <c r="UFQ493" s="106"/>
      <c r="UFR493" s="106"/>
      <c r="UFS493" s="106"/>
      <c r="UFT493" s="106"/>
      <c r="UFU493" s="106"/>
      <c r="UFV493" s="106"/>
      <c r="UFW493" s="106"/>
      <c r="UFX493" s="106"/>
      <c r="UFY493" s="106"/>
      <c r="UFZ493" s="106"/>
      <c r="UGA493" s="106"/>
      <c r="UGB493" s="106"/>
      <c r="UGC493" s="106"/>
      <c r="UGD493" s="106"/>
      <c r="UGE493" s="106"/>
      <c r="UGF493" s="106"/>
      <c r="UGG493" s="106"/>
      <c r="UGH493" s="106"/>
      <c r="UGI493" s="106"/>
      <c r="UGJ493" s="106"/>
      <c r="UGK493" s="106"/>
      <c r="UGL493" s="106"/>
      <c r="UGM493" s="106"/>
      <c r="UGN493" s="106"/>
      <c r="UGO493" s="106"/>
      <c r="UGP493" s="106"/>
      <c r="UGQ493" s="106"/>
      <c r="UGR493" s="106"/>
      <c r="UGS493" s="106"/>
      <c r="UGT493" s="106"/>
      <c r="UGU493" s="106"/>
      <c r="UGV493" s="106"/>
      <c r="UGW493" s="106"/>
      <c r="UGX493" s="106"/>
      <c r="UGY493" s="106"/>
      <c r="UGZ493" s="106"/>
      <c r="UHA493" s="106"/>
      <c r="UHB493" s="106"/>
      <c r="UHC493" s="106"/>
      <c r="UHD493" s="106"/>
      <c r="UHE493" s="106"/>
      <c r="UHF493" s="106"/>
      <c r="UHG493" s="106"/>
      <c r="UHH493" s="106"/>
      <c r="UHI493" s="106"/>
      <c r="UHJ493" s="106"/>
      <c r="UHK493" s="106"/>
      <c r="UHL493" s="106"/>
      <c r="UHM493" s="106"/>
      <c r="UHN493" s="106"/>
      <c r="UHO493" s="106"/>
      <c r="UHP493" s="106"/>
      <c r="UHQ493" s="106"/>
      <c r="UHR493" s="106"/>
      <c r="UHS493" s="106"/>
      <c r="UHT493" s="106"/>
      <c r="UHU493" s="106"/>
      <c r="UHV493" s="106"/>
      <c r="UHW493" s="106"/>
      <c r="UHX493" s="106"/>
      <c r="UHY493" s="106"/>
      <c r="UHZ493" s="106"/>
      <c r="UIA493" s="106"/>
      <c r="UIB493" s="106"/>
      <c r="UIC493" s="106"/>
      <c r="UID493" s="106"/>
      <c r="UIE493" s="106"/>
      <c r="UIF493" s="106"/>
      <c r="UIG493" s="106"/>
      <c r="UIH493" s="106"/>
      <c r="UII493" s="106"/>
      <c r="UIJ493" s="106"/>
      <c r="UIK493" s="106"/>
      <c r="UIL493" s="106"/>
      <c r="UIM493" s="106"/>
      <c r="UIN493" s="106"/>
      <c r="UIO493" s="106"/>
      <c r="UIP493" s="106"/>
      <c r="UIQ493" s="106"/>
      <c r="UIR493" s="106"/>
      <c r="UIS493" s="106"/>
      <c r="UIT493" s="106"/>
      <c r="UIU493" s="106"/>
      <c r="UIV493" s="106"/>
      <c r="UIW493" s="106"/>
      <c r="UIX493" s="106"/>
      <c r="UIY493" s="106"/>
      <c r="UIZ493" s="106"/>
      <c r="UJA493" s="106"/>
      <c r="UJB493" s="106"/>
      <c r="UJC493" s="106"/>
      <c r="UJD493" s="106"/>
      <c r="UJE493" s="106"/>
      <c r="UJF493" s="106"/>
      <c r="UJG493" s="106"/>
      <c r="UJH493" s="106"/>
      <c r="UJI493" s="106"/>
      <c r="UJJ493" s="106"/>
      <c r="UJK493" s="106"/>
      <c r="UJL493" s="106"/>
      <c r="UJM493" s="106"/>
      <c r="UJN493" s="106"/>
      <c r="UJO493" s="106"/>
      <c r="UJP493" s="106"/>
      <c r="UJQ493" s="106"/>
      <c r="UJR493" s="106"/>
      <c r="UJS493" s="106"/>
      <c r="UJT493" s="106"/>
      <c r="UJU493" s="106"/>
      <c r="UJV493" s="106"/>
      <c r="UJW493" s="106"/>
      <c r="UJX493" s="106"/>
      <c r="UJY493" s="106"/>
      <c r="UJZ493" s="106"/>
      <c r="UKA493" s="106"/>
      <c r="UKB493" s="106"/>
      <c r="UKC493" s="106"/>
      <c r="UKD493" s="106"/>
      <c r="UKE493" s="106"/>
      <c r="UKF493" s="106"/>
      <c r="UKG493" s="106"/>
      <c r="UKH493" s="106"/>
      <c r="UKI493" s="106"/>
      <c r="UKJ493" s="106"/>
      <c r="UKK493" s="106"/>
      <c r="UKL493" s="106"/>
      <c r="UKM493" s="106"/>
      <c r="UKN493" s="106"/>
      <c r="UKO493" s="106"/>
      <c r="UKP493" s="106"/>
      <c r="UKQ493" s="106"/>
      <c r="UKR493" s="106"/>
      <c r="UKS493" s="106"/>
      <c r="UKT493" s="106"/>
      <c r="UKU493" s="106"/>
      <c r="UKV493" s="106"/>
      <c r="UKW493" s="106"/>
      <c r="UKX493" s="106"/>
      <c r="UKY493" s="106"/>
      <c r="UKZ493" s="106"/>
      <c r="ULA493" s="106"/>
      <c r="ULB493" s="106"/>
      <c r="ULC493" s="106"/>
      <c r="ULD493" s="106"/>
      <c r="ULE493" s="106"/>
      <c r="ULF493" s="106"/>
      <c r="ULG493" s="106"/>
      <c r="ULH493" s="106"/>
      <c r="ULI493" s="106"/>
      <c r="ULJ493" s="106"/>
      <c r="ULK493" s="106"/>
      <c r="ULL493" s="106"/>
      <c r="ULM493" s="106"/>
      <c r="ULN493" s="106"/>
      <c r="ULO493" s="106"/>
      <c r="ULP493" s="106"/>
      <c r="ULQ493" s="106"/>
      <c r="ULR493" s="106"/>
      <c r="ULS493" s="106"/>
      <c r="ULT493" s="106"/>
      <c r="ULU493" s="106"/>
      <c r="ULV493" s="106"/>
      <c r="ULW493" s="106"/>
      <c r="ULX493" s="106"/>
      <c r="ULY493" s="106"/>
      <c r="ULZ493" s="106"/>
      <c r="UMA493" s="106"/>
      <c r="UMB493" s="106"/>
      <c r="UMC493" s="106"/>
      <c r="UMD493" s="106"/>
      <c r="UME493" s="106"/>
      <c r="UMF493" s="106"/>
      <c r="UMG493" s="106"/>
      <c r="UMH493" s="106"/>
      <c r="UMI493" s="106"/>
      <c r="UMJ493" s="106"/>
      <c r="UMK493" s="106"/>
      <c r="UML493" s="106"/>
      <c r="UMM493" s="106"/>
      <c r="UMN493" s="106"/>
      <c r="UMO493" s="106"/>
      <c r="UMP493" s="106"/>
      <c r="UMQ493" s="106"/>
      <c r="UMR493" s="106"/>
      <c r="UMS493" s="106"/>
      <c r="UMT493" s="106"/>
      <c r="UMU493" s="106"/>
      <c r="UMV493" s="106"/>
      <c r="UMW493" s="106"/>
      <c r="UMX493" s="106"/>
      <c r="UMY493" s="106"/>
      <c r="UMZ493" s="106"/>
      <c r="UNA493" s="106"/>
      <c r="UNB493" s="106"/>
      <c r="UNC493" s="106"/>
      <c r="UND493" s="106"/>
      <c r="UNE493" s="106"/>
      <c r="UNF493" s="106"/>
      <c r="UNG493" s="106"/>
      <c r="UNH493" s="106"/>
      <c r="UNI493" s="106"/>
      <c r="UNJ493" s="106"/>
      <c r="UNK493" s="106"/>
      <c r="UNL493" s="106"/>
      <c r="UNM493" s="106"/>
      <c r="UNN493" s="106"/>
      <c r="UNO493" s="106"/>
      <c r="UNP493" s="106"/>
      <c r="UNQ493" s="106"/>
      <c r="UNR493" s="106"/>
      <c r="UNS493" s="106"/>
      <c r="UNT493" s="106"/>
      <c r="UNU493" s="106"/>
      <c r="UNV493" s="106"/>
      <c r="UNW493" s="106"/>
      <c r="UNX493" s="106"/>
      <c r="UNY493" s="106"/>
      <c r="UNZ493" s="106"/>
      <c r="UOA493" s="106"/>
      <c r="UOB493" s="106"/>
      <c r="UOC493" s="106"/>
      <c r="UOD493" s="106"/>
      <c r="UOE493" s="106"/>
      <c r="UOF493" s="106"/>
      <c r="UOG493" s="106"/>
      <c r="UOH493" s="106"/>
      <c r="UOI493" s="106"/>
      <c r="UOJ493" s="106"/>
      <c r="UOK493" s="106"/>
      <c r="UOL493" s="106"/>
      <c r="UOM493" s="106"/>
      <c r="UON493" s="106"/>
      <c r="UOO493" s="106"/>
      <c r="UOP493" s="106"/>
      <c r="UOQ493" s="106"/>
      <c r="UOR493" s="106"/>
      <c r="UOS493" s="106"/>
      <c r="UOT493" s="106"/>
      <c r="UOU493" s="106"/>
      <c r="UOV493" s="106"/>
      <c r="UOW493" s="106"/>
      <c r="UOX493" s="106"/>
      <c r="UOY493" s="106"/>
      <c r="UOZ493" s="106"/>
      <c r="UPA493" s="106"/>
      <c r="UPB493" s="106"/>
      <c r="UPC493" s="106"/>
      <c r="UPD493" s="106"/>
      <c r="UPE493" s="106"/>
      <c r="UPF493" s="106"/>
      <c r="UPG493" s="106"/>
      <c r="UPH493" s="106"/>
      <c r="UPI493" s="106"/>
      <c r="UPJ493" s="106"/>
      <c r="UPK493" s="106"/>
      <c r="UPL493" s="106"/>
      <c r="UPM493" s="106"/>
      <c r="UPN493" s="106"/>
      <c r="UPO493" s="106"/>
      <c r="UPP493" s="106"/>
      <c r="UPQ493" s="106"/>
      <c r="UPR493" s="106"/>
      <c r="UPS493" s="106"/>
      <c r="UPT493" s="106"/>
      <c r="UPU493" s="106"/>
      <c r="UPV493" s="106"/>
      <c r="UPW493" s="106"/>
      <c r="UPX493" s="106"/>
      <c r="UPY493" s="106"/>
      <c r="UPZ493" s="106"/>
      <c r="UQA493" s="106"/>
      <c r="UQB493" s="106"/>
      <c r="UQC493" s="106"/>
      <c r="UQD493" s="106"/>
      <c r="UQE493" s="106"/>
      <c r="UQF493" s="106"/>
      <c r="UQG493" s="106"/>
      <c r="UQH493" s="106"/>
      <c r="UQI493" s="106"/>
      <c r="UQJ493" s="106"/>
      <c r="UQK493" s="106"/>
      <c r="UQL493" s="106"/>
      <c r="UQM493" s="106"/>
      <c r="UQN493" s="106"/>
      <c r="UQO493" s="106"/>
      <c r="UQP493" s="106"/>
      <c r="UQQ493" s="106"/>
      <c r="UQR493" s="106"/>
      <c r="UQS493" s="106"/>
      <c r="UQT493" s="106"/>
      <c r="UQU493" s="106"/>
      <c r="UQV493" s="106"/>
      <c r="UQW493" s="106"/>
      <c r="UQX493" s="106"/>
      <c r="UQY493" s="106"/>
      <c r="UQZ493" s="106"/>
      <c r="URA493" s="106"/>
      <c r="URB493" s="106"/>
      <c r="URC493" s="106"/>
      <c r="URD493" s="106"/>
      <c r="URE493" s="106"/>
      <c r="URF493" s="106"/>
      <c r="URG493" s="106"/>
      <c r="URH493" s="106"/>
      <c r="URI493" s="106"/>
      <c r="URJ493" s="106"/>
      <c r="URK493" s="106"/>
      <c r="URL493" s="106"/>
      <c r="URM493" s="106"/>
      <c r="URN493" s="106"/>
      <c r="URO493" s="106"/>
      <c r="URP493" s="106"/>
      <c r="URQ493" s="106"/>
      <c r="URR493" s="106"/>
      <c r="URS493" s="106"/>
      <c r="URT493" s="106"/>
      <c r="URU493" s="106"/>
      <c r="URV493" s="106"/>
      <c r="URW493" s="106"/>
      <c r="URX493" s="106"/>
      <c r="URY493" s="106"/>
      <c r="URZ493" s="106"/>
      <c r="USA493" s="106"/>
      <c r="USB493" s="106"/>
      <c r="USC493" s="106"/>
      <c r="USD493" s="106"/>
      <c r="USE493" s="106"/>
      <c r="USF493" s="106"/>
      <c r="USG493" s="106"/>
      <c r="USH493" s="106"/>
      <c r="USI493" s="106"/>
      <c r="USJ493" s="106"/>
      <c r="USK493" s="106"/>
      <c r="USL493" s="106"/>
      <c r="USM493" s="106"/>
      <c r="USN493" s="106"/>
      <c r="USO493" s="106"/>
      <c r="USP493" s="106"/>
      <c r="USQ493" s="106"/>
      <c r="USR493" s="106"/>
      <c r="USS493" s="106"/>
      <c r="UST493" s="106"/>
      <c r="USU493" s="106"/>
      <c r="USV493" s="106"/>
      <c r="USW493" s="106"/>
      <c r="USX493" s="106"/>
      <c r="USY493" s="106"/>
      <c r="USZ493" s="106"/>
      <c r="UTA493" s="106"/>
      <c r="UTB493" s="106"/>
      <c r="UTC493" s="106"/>
      <c r="UTD493" s="106"/>
      <c r="UTE493" s="106"/>
      <c r="UTF493" s="106"/>
      <c r="UTG493" s="106"/>
      <c r="UTH493" s="106"/>
      <c r="UTI493" s="106"/>
      <c r="UTJ493" s="106"/>
      <c r="UTK493" s="106"/>
      <c r="UTL493" s="106"/>
      <c r="UTM493" s="106"/>
      <c r="UTN493" s="106"/>
      <c r="UTO493" s="106"/>
      <c r="UTP493" s="106"/>
      <c r="UTQ493" s="106"/>
      <c r="UTR493" s="106"/>
      <c r="UTS493" s="106"/>
      <c r="UTT493" s="106"/>
      <c r="UTU493" s="106"/>
      <c r="UTV493" s="106"/>
      <c r="UTW493" s="106"/>
      <c r="UTX493" s="106"/>
      <c r="UTY493" s="106"/>
      <c r="UTZ493" s="106"/>
      <c r="UUA493" s="106"/>
      <c r="UUB493" s="106"/>
      <c r="UUC493" s="106"/>
      <c r="UUD493" s="106"/>
      <c r="UUE493" s="106"/>
      <c r="UUF493" s="106"/>
      <c r="UUG493" s="106"/>
      <c r="UUH493" s="106"/>
      <c r="UUI493" s="106"/>
      <c r="UUJ493" s="106"/>
      <c r="UUK493" s="106"/>
      <c r="UUL493" s="106"/>
      <c r="UUM493" s="106"/>
      <c r="UUN493" s="106"/>
      <c r="UUO493" s="106"/>
      <c r="UUP493" s="106"/>
      <c r="UUQ493" s="106"/>
      <c r="UUR493" s="106"/>
      <c r="UUS493" s="106"/>
      <c r="UUT493" s="106"/>
      <c r="UUU493" s="106"/>
      <c r="UUV493" s="106"/>
      <c r="UUW493" s="106"/>
      <c r="UUX493" s="106"/>
      <c r="UUY493" s="106"/>
      <c r="UUZ493" s="106"/>
      <c r="UVA493" s="106"/>
      <c r="UVB493" s="106"/>
      <c r="UVC493" s="106"/>
      <c r="UVD493" s="106"/>
      <c r="UVE493" s="106"/>
      <c r="UVF493" s="106"/>
      <c r="UVG493" s="106"/>
      <c r="UVH493" s="106"/>
      <c r="UVI493" s="106"/>
      <c r="UVJ493" s="106"/>
      <c r="UVK493" s="106"/>
      <c r="UVL493" s="106"/>
      <c r="UVM493" s="106"/>
      <c r="UVN493" s="106"/>
      <c r="UVO493" s="106"/>
      <c r="UVP493" s="106"/>
      <c r="UVQ493" s="106"/>
      <c r="UVR493" s="106"/>
      <c r="UVS493" s="106"/>
      <c r="UVT493" s="106"/>
      <c r="UVU493" s="106"/>
      <c r="UVV493" s="106"/>
      <c r="UVW493" s="106"/>
      <c r="UVX493" s="106"/>
      <c r="UVY493" s="106"/>
      <c r="UVZ493" s="106"/>
      <c r="UWA493" s="106"/>
      <c r="UWB493" s="106"/>
      <c r="UWC493" s="106"/>
      <c r="UWD493" s="106"/>
      <c r="UWE493" s="106"/>
      <c r="UWF493" s="106"/>
      <c r="UWG493" s="106"/>
      <c r="UWH493" s="106"/>
      <c r="UWI493" s="106"/>
      <c r="UWJ493" s="106"/>
      <c r="UWK493" s="106"/>
      <c r="UWL493" s="106"/>
      <c r="UWM493" s="106"/>
      <c r="UWN493" s="106"/>
      <c r="UWO493" s="106"/>
      <c r="UWP493" s="106"/>
      <c r="UWQ493" s="106"/>
      <c r="UWR493" s="106"/>
      <c r="UWS493" s="106"/>
      <c r="UWT493" s="106"/>
      <c r="UWU493" s="106"/>
      <c r="UWV493" s="106"/>
      <c r="UWW493" s="106"/>
      <c r="UWX493" s="106"/>
      <c r="UWY493" s="106"/>
      <c r="UWZ493" s="106"/>
      <c r="UXA493" s="106"/>
      <c r="UXB493" s="106"/>
      <c r="UXC493" s="106"/>
      <c r="UXD493" s="106"/>
      <c r="UXE493" s="106"/>
      <c r="UXF493" s="106"/>
      <c r="UXG493" s="106"/>
      <c r="UXH493" s="106"/>
      <c r="UXI493" s="106"/>
      <c r="UXJ493" s="106"/>
      <c r="UXK493" s="106"/>
      <c r="UXL493" s="106"/>
      <c r="UXM493" s="106"/>
      <c r="UXN493" s="106"/>
      <c r="UXO493" s="106"/>
      <c r="UXP493" s="106"/>
      <c r="UXQ493" s="106"/>
      <c r="UXR493" s="106"/>
      <c r="UXS493" s="106"/>
      <c r="UXT493" s="106"/>
      <c r="UXU493" s="106"/>
      <c r="UXV493" s="106"/>
      <c r="UXW493" s="106"/>
      <c r="UXX493" s="106"/>
      <c r="UXY493" s="106"/>
      <c r="UXZ493" s="106"/>
      <c r="UYA493" s="106"/>
      <c r="UYB493" s="106"/>
      <c r="UYC493" s="106"/>
      <c r="UYD493" s="106"/>
      <c r="UYE493" s="106"/>
      <c r="UYF493" s="106"/>
      <c r="UYG493" s="106"/>
      <c r="UYH493" s="106"/>
      <c r="UYI493" s="106"/>
      <c r="UYJ493" s="106"/>
      <c r="UYK493" s="106"/>
      <c r="UYL493" s="106"/>
      <c r="UYM493" s="106"/>
      <c r="UYN493" s="106"/>
      <c r="UYO493" s="106"/>
      <c r="UYP493" s="106"/>
      <c r="UYQ493" s="106"/>
      <c r="UYR493" s="106"/>
      <c r="UYS493" s="106"/>
      <c r="UYT493" s="106"/>
      <c r="UYU493" s="106"/>
      <c r="UYV493" s="106"/>
      <c r="UYW493" s="106"/>
      <c r="UYX493" s="106"/>
      <c r="UYY493" s="106"/>
      <c r="UYZ493" s="106"/>
      <c r="UZA493" s="106"/>
      <c r="UZB493" s="106"/>
      <c r="UZC493" s="106"/>
      <c r="UZD493" s="106"/>
      <c r="UZE493" s="106"/>
      <c r="UZF493" s="106"/>
      <c r="UZG493" s="106"/>
      <c r="UZH493" s="106"/>
      <c r="UZI493" s="106"/>
      <c r="UZJ493" s="106"/>
      <c r="UZK493" s="106"/>
      <c r="UZL493" s="106"/>
      <c r="UZM493" s="106"/>
      <c r="UZN493" s="106"/>
      <c r="UZO493" s="106"/>
      <c r="UZP493" s="106"/>
      <c r="UZQ493" s="106"/>
      <c r="UZR493" s="106"/>
      <c r="UZS493" s="106"/>
      <c r="UZT493" s="106"/>
      <c r="UZU493" s="106"/>
      <c r="UZV493" s="106"/>
      <c r="UZW493" s="106"/>
      <c r="UZX493" s="106"/>
      <c r="UZY493" s="106"/>
      <c r="UZZ493" s="106"/>
      <c r="VAA493" s="106"/>
      <c r="VAB493" s="106"/>
      <c r="VAC493" s="106"/>
      <c r="VAD493" s="106"/>
      <c r="VAE493" s="106"/>
      <c r="VAF493" s="106"/>
      <c r="VAG493" s="106"/>
      <c r="VAH493" s="106"/>
      <c r="VAI493" s="106"/>
      <c r="VAJ493" s="106"/>
      <c r="VAK493" s="106"/>
      <c r="VAL493" s="106"/>
      <c r="VAM493" s="106"/>
      <c r="VAN493" s="106"/>
      <c r="VAO493" s="106"/>
      <c r="VAP493" s="106"/>
      <c r="VAQ493" s="106"/>
      <c r="VAR493" s="106"/>
      <c r="VAS493" s="106"/>
      <c r="VAT493" s="106"/>
      <c r="VAU493" s="106"/>
      <c r="VAV493" s="106"/>
      <c r="VAW493" s="106"/>
      <c r="VAX493" s="106"/>
      <c r="VAY493" s="106"/>
      <c r="VAZ493" s="106"/>
      <c r="VBA493" s="106"/>
      <c r="VBB493" s="106"/>
      <c r="VBC493" s="106"/>
      <c r="VBD493" s="106"/>
      <c r="VBE493" s="106"/>
      <c r="VBF493" s="106"/>
      <c r="VBG493" s="106"/>
      <c r="VBH493" s="106"/>
      <c r="VBI493" s="106"/>
      <c r="VBJ493" s="106"/>
      <c r="VBK493" s="106"/>
      <c r="VBL493" s="106"/>
      <c r="VBM493" s="106"/>
      <c r="VBN493" s="106"/>
      <c r="VBO493" s="106"/>
      <c r="VBP493" s="106"/>
      <c r="VBQ493" s="106"/>
      <c r="VBR493" s="106"/>
      <c r="VBS493" s="106"/>
      <c r="VBT493" s="106"/>
      <c r="VBU493" s="106"/>
      <c r="VBV493" s="106"/>
      <c r="VBW493" s="106"/>
      <c r="VBX493" s="106"/>
      <c r="VBY493" s="106"/>
      <c r="VBZ493" s="106"/>
      <c r="VCA493" s="106"/>
      <c r="VCB493" s="106"/>
      <c r="VCC493" s="106"/>
      <c r="VCD493" s="106"/>
      <c r="VCE493" s="106"/>
      <c r="VCF493" s="106"/>
      <c r="VCG493" s="106"/>
      <c r="VCH493" s="106"/>
      <c r="VCI493" s="106"/>
      <c r="VCJ493" s="106"/>
      <c r="VCK493" s="106"/>
      <c r="VCL493" s="106"/>
      <c r="VCM493" s="106"/>
      <c r="VCN493" s="106"/>
      <c r="VCO493" s="106"/>
      <c r="VCP493" s="106"/>
      <c r="VCQ493" s="106"/>
      <c r="VCR493" s="106"/>
      <c r="VCS493" s="106"/>
      <c r="VCT493" s="106"/>
      <c r="VCU493" s="106"/>
      <c r="VCV493" s="106"/>
      <c r="VCW493" s="106"/>
      <c r="VCX493" s="106"/>
      <c r="VCY493" s="106"/>
      <c r="VCZ493" s="106"/>
      <c r="VDA493" s="106"/>
      <c r="VDB493" s="106"/>
      <c r="VDC493" s="106"/>
      <c r="VDD493" s="106"/>
      <c r="VDE493" s="106"/>
      <c r="VDF493" s="106"/>
      <c r="VDG493" s="106"/>
      <c r="VDH493" s="106"/>
      <c r="VDI493" s="106"/>
      <c r="VDJ493" s="106"/>
      <c r="VDK493" s="106"/>
      <c r="VDL493" s="106"/>
      <c r="VDM493" s="106"/>
      <c r="VDN493" s="106"/>
      <c r="VDO493" s="106"/>
      <c r="VDP493" s="106"/>
      <c r="VDQ493" s="106"/>
      <c r="VDR493" s="106"/>
      <c r="VDS493" s="106"/>
      <c r="VDT493" s="106"/>
      <c r="VDU493" s="106"/>
      <c r="VDV493" s="106"/>
      <c r="VDW493" s="106"/>
      <c r="VDX493" s="106"/>
      <c r="VDY493" s="106"/>
      <c r="VDZ493" s="106"/>
      <c r="VEA493" s="106"/>
      <c r="VEB493" s="106"/>
      <c r="VEC493" s="106"/>
      <c r="VED493" s="106"/>
      <c r="VEE493" s="106"/>
      <c r="VEF493" s="106"/>
      <c r="VEG493" s="106"/>
      <c r="VEH493" s="106"/>
      <c r="VEI493" s="106"/>
      <c r="VEJ493" s="106"/>
      <c r="VEK493" s="106"/>
      <c r="VEL493" s="106"/>
      <c r="VEM493" s="106"/>
      <c r="VEN493" s="106"/>
      <c r="VEO493" s="106"/>
      <c r="VEP493" s="106"/>
      <c r="VEQ493" s="106"/>
      <c r="VER493" s="106"/>
      <c r="VES493" s="106"/>
      <c r="VET493" s="106"/>
      <c r="VEU493" s="106"/>
      <c r="VEV493" s="106"/>
      <c r="VEW493" s="106"/>
      <c r="VEX493" s="106"/>
      <c r="VEY493" s="106"/>
      <c r="VEZ493" s="106"/>
      <c r="VFA493" s="106"/>
      <c r="VFB493" s="106"/>
      <c r="VFC493" s="106"/>
      <c r="VFD493" s="106"/>
      <c r="VFE493" s="106"/>
      <c r="VFF493" s="106"/>
      <c r="VFG493" s="106"/>
      <c r="VFH493" s="106"/>
      <c r="VFI493" s="106"/>
      <c r="VFJ493" s="106"/>
      <c r="VFK493" s="106"/>
      <c r="VFL493" s="106"/>
      <c r="VFM493" s="106"/>
      <c r="VFN493" s="106"/>
      <c r="VFO493" s="106"/>
      <c r="VFP493" s="106"/>
      <c r="VFQ493" s="106"/>
      <c r="VFR493" s="106"/>
      <c r="VFS493" s="106"/>
      <c r="VFT493" s="106"/>
      <c r="VFU493" s="106"/>
      <c r="VFV493" s="106"/>
      <c r="VFW493" s="106"/>
      <c r="VFX493" s="106"/>
      <c r="VFY493" s="106"/>
      <c r="VFZ493" s="106"/>
      <c r="VGA493" s="106"/>
      <c r="VGB493" s="106"/>
      <c r="VGC493" s="106"/>
      <c r="VGD493" s="106"/>
      <c r="VGE493" s="106"/>
      <c r="VGF493" s="106"/>
      <c r="VGG493" s="106"/>
      <c r="VGH493" s="106"/>
      <c r="VGI493" s="106"/>
      <c r="VGJ493" s="106"/>
      <c r="VGK493" s="106"/>
      <c r="VGL493" s="106"/>
      <c r="VGM493" s="106"/>
      <c r="VGN493" s="106"/>
      <c r="VGO493" s="106"/>
      <c r="VGP493" s="106"/>
      <c r="VGQ493" s="106"/>
      <c r="VGR493" s="106"/>
      <c r="VGS493" s="106"/>
      <c r="VGT493" s="106"/>
      <c r="VGU493" s="106"/>
      <c r="VGV493" s="106"/>
      <c r="VGW493" s="106"/>
      <c r="VGX493" s="106"/>
      <c r="VGY493" s="106"/>
      <c r="VGZ493" s="106"/>
      <c r="VHA493" s="106"/>
      <c r="VHB493" s="106"/>
      <c r="VHC493" s="106"/>
      <c r="VHD493" s="106"/>
      <c r="VHE493" s="106"/>
      <c r="VHF493" s="106"/>
      <c r="VHG493" s="106"/>
      <c r="VHH493" s="106"/>
      <c r="VHI493" s="106"/>
      <c r="VHJ493" s="106"/>
      <c r="VHK493" s="106"/>
      <c r="VHL493" s="106"/>
      <c r="VHM493" s="106"/>
      <c r="VHN493" s="106"/>
      <c r="VHO493" s="106"/>
      <c r="VHP493" s="106"/>
      <c r="VHQ493" s="106"/>
      <c r="VHR493" s="106"/>
      <c r="VHS493" s="106"/>
      <c r="VHT493" s="106"/>
      <c r="VHU493" s="106"/>
      <c r="VHV493" s="106"/>
      <c r="VHW493" s="106"/>
      <c r="VHX493" s="106"/>
      <c r="VHY493" s="106"/>
      <c r="VHZ493" s="106"/>
      <c r="VIA493" s="106"/>
      <c r="VIB493" s="106"/>
      <c r="VIC493" s="106"/>
      <c r="VID493" s="106"/>
      <c r="VIE493" s="106"/>
      <c r="VIF493" s="106"/>
      <c r="VIG493" s="106"/>
      <c r="VIH493" s="106"/>
      <c r="VII493" s="106"/>
      <c r="VIJ493" s="106"/>
      <c r="VIK493" s="106"/>
      <c r="VIL493" s="106"/>
      <c r="VIM493" s="106"/>
      <c r="VIN493" s="106"/>
      <c r="VIO493" s="106"/>
      <c r="VIP493" s="106"/>
      <c r="VIQ493" s="106"/>
      <c r="VIR493" s="106"/>
      <c r="VIS493" s="106"/>
      <c r="VIT493" s="106"/>
      <c r="VIU493" s="106"/>
      <c r="VIV493" s="106"/>
      <c r="VIW493" s="106"/>
      <c r="VIX493" s="106"/>
      <c r="VIY493" s="106"/>
      <c r="VIZ493" s="106"/>
      <c r="VJA493" s="106"/>
      <c r="VJB493" s="106"/>
      <c r="VJC493" s="106"/>
      <c r="VJD493" s="106"/>
      <c r="VJE493" s="106"/>
      <c r="VJF493" s="106"/>
      <c r="VJG493" s="106"/>
      <c r="VJH493" s="106"/>
      <c r="VJI493" s="106"/>
      <c r="VJJ493" s="106"/>
      <c r="VJK493" s="106"/>
      <c r="VJL493" s="106"/>
      <c r="VJM493" s="106"/>
      <c r="VJN493" s="106"/>
      <c r="VJO493" s="106"/>
      <c r="VJP493" s="106"/>
      <c r="VJQ493" s="106"/>
      <c r="VJR493" s="106"/>
      <c r="VJS493" s="106"/>
      <c r="VJT493" s="106"/>
      <c r="VJU493" s="106"/>
      <c r="VJV493" s="106"/>
      <c r="VJW493" s="106"/>
      <c r="VJX493" s="106"/>
      <c r="VJY493" s="106"/>
      <c r="VJZ493" s="106"/>
      <c r="VKA493" s="106"/>
      <c r="VKB493" s="106"/>
      <c r="VKC493" s="106"/>
      <c r="VKD493" s="106"/>
      <c r="VKE493" s="106"/>
      <c r="VKF493" s="106"/>
      <c r="VKG493" s="106"/>
      <c r="VKH493" s="106"/>
      <c r="VKI493" s="106"/>
      <c r="VKJ493" s="106"/>
      <c r="VKK493" s="106"/>
      <c r="VKL493" s="106"/>
      <c r="VKM493" s="106"/>
      <c r="VKN493" s="106"/>
      <c r="VKO493" s="106"/>
      <c r="VKP493" s="106"/>
      <c r="VKQ493" s="106"/>
      <c r="VKR493" s="106"/>
      <c r="VKS493" s="106"/>
      <c r="VKT493" s="106"/>
      <c r="VKU493" s="106"/>
      <c r="VKV493" s="106"/>
      <c r="VKW493" s="106"/>
      <c r="VKX493" s="106"/>
      <c r="VKY493" s="106"/>
      <c r="VKZ493" s="106"/>
      <c r="VLA493" s="106"/>
      <c r="VLB493" s="106"/>
      <c r="VLC493" s="106"/>
      <c r="VLD493" s="106"/>
      <c r="VLE493" s="106"/>
      <c r="VLF493" s="106"/>
      <c r="VLG493" s="106"/>
      <c r="VLH493" s="106"/>
      <c r="VLI493" s="106"/>
      <c r="VLJ493" s="106"/>
      <c r="VLK493" s="106"/>
      <c r="VLL493" s="106"/>
      <c r="VLM493" s="106"/>
      <c r="VLN493" s="106"/>
      <c r="VLO493" s="106"/>
      <c r="VLP493" s="106"/>
      <c r="VLQ493" s="106"/>
      <c r="VLR493" s="106"/>
      <c r="VLS493" s="106"/>
      <c r="VLT493" s="106"/>
      <c r="VLU493" s="106"/>
      <c r="VLV493" s="106"/>
      <c r="VLW493" s="106"/>
      <c r="VLX493" s="106"/>
      <c r="VLY493" s="106"/>
      <c r="VLZ493" s="106"/>
      <c r="VMA493" s="106"/>
      <c r="VMB493" s="106"/>
      <c r="VMC493" s="106"/>
      <c r="VMD493" s="106"/>
      <c r="VME493" s="106"/>
      <c r="VMF493" s="106"/>
      <c r="VMG493" s="106"/>
      <c r="VMH493" s="106"/>
      <c r="VMI493" s="106"/>
      <c r="VMJ493" s="106"/>
      <c r="VMK493" s="106"/>
      <c r="VML493" s="106"/>
      <c r="VMM493" s="106"/>
      <c r="VMN493" s="106"/>
      <c r="VMO493" s="106"/>
      <c r="VMP493" s="106"/>
      <c r="VMQ493" s="106"/>
      <c r="VMR493" s="106"/>
      <c r="VMS493" s="106"/>
      <c r="VMT493" s="106"/>
      <c r="VMU493" s="106"/>
      <c r="VMV493" s="106"/>
      <c r="VMW493" s="106"/>
      <c r="VMX493" s="106"/>
      <c r="VMY493" s="106"/>
      <c r="VMZ493" s="106"/>
      <c r="VNA493" s="106"/>
      <c r="VNB493" s="106"/>
      <c r="VNC493" s="106"/>
      <c r="VND493" s="106"/>
      <c r="VNE493" s="106"/>
      <c r="VNF493" s="106"/>
      <c r="VNG493" s="106"/>
      <c r="VNH493" s="106"/>
      <c r="VNI493" s="106"/>
      <c r="VNJ493" s="106"/>
      <c r="VNK493" s="106"/>
      <c r="VNL493" s="106"/>
      <c r="VNM493" s="106"/>
      <c r="VNN493" s="106"/>
      <c r="VNO493" s="106"/>
      <c r="VNP493" s="106"/>
      <c r="VNQ493" s="106"/>
      <c r="VNR493" s="106"/>
      <c r="VNS493" s="106"/>
      <c r="VNT493" s="106"/>
      <c r="VNU493" s="106"/>
      <c r="VNV493" s="106"/>
      <c r="VNW493" s="106"/>
      <c r="VNX493" s="106"/>
      <c r="VNY493" s="106"/>
      <c r="VNZ493" s="106"/>
      <c r="VOA493" s="106"/>
      <c r="VOB493" s="106"/>
      <c r="VOC493" s="106"/>
      <c r="VOD493" s="106"/>
      <c r="VOE493" s="106"/>
      <c r="VOF493" s="106"/>
      <c r="VOG493" s="106"/>
      <c r="VOH493" s="106"/>
      <c r="VOI493" s="106"/>
      <c r="VOJ493" s="106"/>
      <c r="VOK493" s="106"/>
      <c r="VOL493" s="106"/>
      <c r="VOM493" s="106"/>
      <c r="VON493" s="106"/>
      <c r="VOO493" s="106"/>
      <c r="VOP493" s="106"/>
      <c r="VOQ493" s="106"/>
      <c r="VOR493" s="106"/>
      <c r="VOS493" s="106"/>
      <c r="VOT493" s="106"/>
      <c r="VOU493" s="106"/>
      <c r="VOV493" s="106"/>
      <c r="VOW493" s="106"/>
      <c r="VOX493" s="106"/>
      <c r="VOY493" s="106"/>
      <c r="VOZ493" s="106"/>
      <c r="VPA493" s="106"/>
      <c r="VPB493" s="106"/>
      <c r="VPC493" s="106"/>
      <c r="VPD493" s="106"/>
      <c r="VPE493" s="106"/>
      <c r="VPF493" s="106"/>
      <c r="VPG493" s="106"/>
      <c r="VPH493" s="106"/>
      <c r="VPI493" s="106"/>
      <c r="VPJ493" s="106"/>
      <c r="VPK493" s="106"/>
      <c r="VPL493" s="106"/>
      <c r="VPM493" s="106"/>
      <c r="VPN493" s="106"/>
      <c r="VPO493" s="106"/>
      <c r="VPP493" s="106"/>
      <c r="VPQ493" s="106"/>
      <c r="VPR493" s="106"/>
      <c r="VPS493" s="106"/>
      <c r="VPT493" s="106"/>
      <c r="VPU493" s="106"/>
      <c r="VPV493" s="106"/>
      <c r="VPW493" s="106"/>
      <c r="VPX493" s="106"/>
      <c r="VPY493" s="106"/>
      <c r="VPZ493" s="106"/>
      <c r="VQA493" s="106"/>
      <c r="VQB493" s="106"/>
      <c r="VQC493" s="106"/>
      <c r="VQD493" s="106"/>
      <c r="VQE493" s="106"/>
      <c r="VQF493" s="106"/>
      <c r="VQG493" s="106"/>
      <c r="VQH493" s="106"/>
      <c r="VQI493" s="106"/>
      <c r="VQJ493" s="106"/>
      <c r="VQK493" s="106"/>
      <c r="VQL493" s="106"/>
      <c r="VQM493" s="106"/>
      <c r="VQN493" s="106"/>
      <c r="VQO493" s="106"/>
      <c r="VQP493" s="106"/>
      <c r="VQQ493" s="106"/>
      <c r="VQR493" s="106"/>
      <c r="VQS493" s="106"/>
      <c r="VQT493" s="106"/>
      <c r="VQU493" s="106"/>
      <c r="VQV493" s="106"/>
      <c r="VQW493" s="106"/>
      <c r="VQX493" s="106"/>
      <c r="VQY493" s="106"/>
      <c r="VQZ493" s="106"/>
      <c r="VRA493" s="106"/>
      <c r="VRB493" s="106"/>
      <c r="VRC493" s="106"/>
      <c r="VRD493" s="106"/>
      <c r="VRE493" s="106"/>
      <c r="VRF493" s="106"/>
      <c r="VRG493" s="106"/>
      <c r="VRH493" s="106"/>
      <c r="VRI493" s="106"/>
      <c r="VRJ493" s="106"/>
      <c r="VRK493" s="106"/>
      <c r="VRL493" s="106"/>
      <c r="VRM493" s="106"/>
      <c r="VRN493" s="106"/>
      <c r="VRO493" s="106"/>
      <c r="VRP493" s="106"/>
      <c r="VRQ493" s="106"/>
      <c r="VRR493" s="106"/>
      <c r="VRS493" s="106"/>
      <c r="VRT493" s="106"/>
      <c r="VRU493" s="106"/>
      <c r="VRV493" s="106"/>
      <c r="VRW493" s="106"/>
      <c r="VRX493" s="106"/>
      <c r="VRY493" s="106"/>
      <c r="VRZ493" s="106"/>
      <c r="VSA493" s="106"/>
      <c r="VSB493" s="106"/>
      <c r="VSC493" s="106"/>
      <c r="VSD493" s="106"/>
      <c r="VSE493" s="106"/>
      <c r="VSF493" s="106"/>
      <c r="VSG493" s="106"/>
      <c r="VSH493" s="106"/>
      <c r="VSI493" s="106"/>
      <c r="VSJ493" s="106"/>
      <c r="VSK493" s="106"/>
      <c r="VSL493" s="106"/>
      <c r="VSM493" s="106"/>
      <c r="VSN493" s="106"/>
      <c r="VSO493" s="106"/>
      <c r="VSP493" s="106"/>
      <c r="VSQ493" s="106"/>
      <c r="VSR493" s="106"/>
      <c r="VSS493" s="106"/>
      <c r="VST493" s="106"/>
      <c r="VSU493" s="106"/>
      <c r="VSV493" s="106"/>
      <c r="VSW493" s="106"/>
      <c r="VSX493" s="106"/>
      <c r="VSY493" s="106"/>
      <c r="VSZ493" s="106"/>
      <c r="VTA493" s="106"/>
      <c r="VTB493" s="106"/>
      <c r="VTC493" s="106"/>
      <c r="VTD493" s="106"/>
      <c r="VTE493" s="106"/>
      <c r="VTF493" s="106"/>
      <c r="VTG493" s="106"/>
      <c r="VTH493" s="106"/>
      <c r="VTI493" s="106"/>
      <c r="VTJ493" s="106"/>
      <c r="VTK493" s="106"/>
      <c r="VTL493" s="106"/>
      <c r="VTM493" s="106"/>
      <c r="VTN493" s="106"/>
      <c r="VTO493" s="106"/>
      <c r="VTP493" s="106"/>
      <c r="VTQ493" s="106"/>
      <c r="VTR493" s="106"/>
      <c r="VTS493" s="106"/>
      <c r="VTT493" s="106"/>
      <c r="VTU493" s="106"/>
      <c r="VTV493" s="106"/>
      <c r="VTW493" s="106"/>
      <c r="VTX493" s="106"/>
      <c r="VTY493" s="106"/>
      <c r="VTZ493" s="106"/>
      <c r="VUA493" s="106"/>
      <c r="VUB493" s="106"/>
      <c r="VUC493" s="106"/>
      <c r="VUD493" s="106"/>
      <c r="VUE493" s="106"/>
      <c r="VUF493" s="106"/>
      <c r="VUG493" s="106"/>
      <c r="VUH493" s="106"/>
      <c r="VUI493" s="106"/>
      <c r="VUJ493" s="106"/>
      <c r="VUK493" s="106"/>
      <c r="VUL493" s="106"/>
      <c r="VUM493" s="106"/>
      <c r="VUN493" s="106"/>
      <c r="VUO493" s="106"/>
      <c r="VUP493" s="106"/>
      <c r="VUQ493" s="106"/>
      <c r="VUR493" s="106"/>
      <c r="VUS493" s="106"/>
      <c r="VUT493" s="106"/>
      <c r="VUU493" s="106"/>
      <c r="VUV493" s="106"/>
      <c r="VUW493" s="106"/>
      <c r="VUX493" s="106"/>
      <c r="VUY493" s="106"/>
      <c r="VUZ493" s="106"/>
      <c r="VVA493" s="106"/>
      <c r="VVB493" s="106"/>
      <c r="VVC493" s="106"/>
      <c r="VVD493" s="106"/>
      <c r="VVE493" s="106"/>
      <c r="VVF493" s="106"/>
      <c r="VVG493" s="106"/>
      <c r="VVH493" s="106"/>
      <c r="VVI493" s="106"/>
      <c r="VVJ493" s="106"/>
      <c r="VVK493" s="106"/>
      <c r="VVL493" s="106"/>
      <c r="VVM493" s="106"/>
      <c r="VVN493" s="106"/>
      <c r="VVO493" s="106"/>
      <c r="VVP493" s="106"/>
      <c r="VVQ493" s="106"/>
      <c r="VVR493" s="106"/>
      <c r="VVS493" s="106"/>
      <c r="VVT493" s="106"/>
      <c r="VVU493" s="106"/>
      <c r="VVV493" s="106"/>
      <c r="VVW493" s="106"/>
      <c r="VVX493" s="106"/>
      <c r="VVY493" s="106"/>
      <c r="VVZ493" s="106"/>
      <c r="VWA493" s="106"/>
      <c r="VWB493" s="106"/>
      <c r="VWC493" s="106"/>
      <c r="VWD493" s="106"/>
      <c r="VWE493" s="106"/>
      <c r="VWF493" s="106"/>
      <c r="VWG493" s="106"/>
      <c r="VWH493" s="106"/>
      <c r="VWI493" s="106"/>
      <c r="VWJ493" s="106"/>
      <c r="VWK493" s="106"/>
      <c r="VWL493" s="106"/>
      <c r="VWM493" s="106"/>
      <c r="VWN493" s="106"/>
      <c r="VWO493" s="106"/>
      <c r="VWP493" s="106"/>
      <c r="VWQ493" s="106"/>
      <c r="VWR493" s="106"/>
      <c r="VWS493" s="106"/>
      <c r="VWT493" s="106"/>
      <c r="VWU493" s="106"/>
      <c r="VWV493" s="106"/>
      <c r="VWW493" s="106"/>
      <c r="VWX493" s="106"/>
      <c r="VWY493" s="106"/>
      <c r="VWZ493" s="106"/>
      <c r="VXA493" s="106"/>
      <c r="VXB493" s="106"/>
      <c r="VXC493" s="106"/>
      <c r="VXD493" s="106"/>
      <c r="VXE493" s="106"/>
      <c r="VXF493" s="106"/>
      <c r="VXG493" s="106"/>
      <c r="VXH493" s="106"/>
      <c r="VXI493" s="106"/>
      <c r="VXJ493" s="106"/>
      <c r="VXK493" s="106"/>
      <c r="VXL493" s="106"/>
      <c r="VXM493" s="106"/>
      <c r="VXN493" s="106"/>
      <c r="VXO493" s="106"/>
      <c r="VXP493" s="106"/>
      <c r="VXQ493" s="106"/>
      <c r="VXR493" s="106"/>
      <c r="VXS493" s="106"/>
      <c r="VXT493" s="106"/>
      <c r="VXU493" s="106"/>
      <c r="VXV493" s="106"/>
      <c r="VXW493" s="106"/>
      <c r="VXX493" s="106"/>
      <c r="VXY493" s="106"/>
      <c r="VXZ493" s="106"/>
      <c r="VYA493" s="106"/>
      <c r="VYB493" s="106"/>
      <c r="VYC493" s="106"/>
      <c r="VYD493" s="106"/>
      <c r="VYE493" s="106"/>
      <c r="VYF493" s="106"/>
      <c r="VYG493" s="106"/>
      <c r="VYH493" s="106"/>
      <c r="VYI493" s="106"/>
      <c r="VYJ493" s="106"/>
      <c r="VYK493" s="106"/>
      <c r="VYL493" s="106"/>
      <c r="VYM493" s="106"/>
      <c r="VYN493" s="106"/>
      <c r="VYO493" s="106"/>
      <c r="VYP493" s="106"/>
      <c r="VYQ493" s="106"/>
      <c r="VYR493" s="106"/>
      <c r="VYS493" s="106"/>
      <c r="VYT493" s="106"/>
      <c r="VYU493" s="106"/>
      <c r="VYV493" s="106"/>
      <c r="VYW493" s="106"/>
      <c r="VYX493" s="106"/>
      <c r="VYY493" s="106"/>
      <c r="VYZ493" s="106"/>
      <c r="VZA493" s="106"/>
      <c r="VZB493" s="106"/>
      <c r="VZC493" s="106"/>
      <c r="VZD493" s="106"/>
      <c r="VZE493" s="106"/>
      <c r="VZF493" s="106"/>
      <c r="VZG493" s="106"/>
      <c r="VZH493" s="106"/>
      <c r="VZI493" s="106"/>
      <c r="VZJ493" s="106"/>
      <c r="VZK493" s="106"/>
      <c r="VZL493" s="106"/>
      <c r="VZM493" s="106"/>
      <c r="VZN493" s="106"/>
      <c r="VZO493" s="106"/>
      <c r="VZP493" s="106"/>
      <c r="VZQ493" s="106"/>
      <c r="VZR493" s="106"/>
      <c r="VZS493" s="106"/>
      <c r="VZT493" s="106"/>
      <c r="VZU493" s="106"/>
      <c r="VZV493" s="106"/>
      <c r="VZW493" s="106"/>
      <c r="VZX493" s="106"/>
      <c r="VZY493" s="106"/>
      <c r="VZZ493" s="106"/>
      <c r="WAA493" s="106"/>
      <c r="WAB493" s="106"/>
      <c r="WAC493" s="106"/>
      <c r="WAD493" s="106"/>
      <c r="WAE493" s="106"/>
      <c r="WAF493" s="106"/>
      <c r="WAG493" s="106"/>
      <c r="WAH493" s="106"/>
      <c r="WAI493" s="106"/>
      <c r="WAJ493" s="106"/>
      <c r="WAK493" s="106"/>
      <c r="WAL493" s="106"/>
      <c r="WAM493" s="106"/>
      <c r="WAN493" s="106"/>
      <c r="WAO493" s="106"/>
      <c r="WAP493" s="106"/>
      <c r="WAQ493" s="106"/>
      <c r="WAR493" s="106"/>
      <c r="WAS493" s="106"/>
      <c r="WAT493" s="106"/>
      <c r="WAU493" s="106"/>
      <c r="WAV493" s="106"/>
      <c r="WAW493" s="106"/>
      <c r="WAX493" s="106"/>
      <c r="WAY493" s="106"/>
      <c r="WAZ493" s="106"/>
      <c r="WBA493" s="106"/>
      <c r="WBB493" s="106"/>
      <c r="WBC493" s="106"/>
      <c r="WBD493" s="106"/>
      <c r="WBE493" s="106"/>
      <c r="WBF493" s="106"/>
      <c r="WBG493" s="106"/>
      <c r="WBH493" s="106"/>
      <c r="WBI493" s="106"/>
      <c r="WBJ493" s="106"/>
      <c r="WBK493" s="106"/>
      <c r="WBL493" s="106"/>
      <c r="WBM493" s="106"/>
      <c r="WBN493" s="106"/>
      <c r="WBO493" s="106"/>
      <c r="WBP493" s="106"/>
      <c r="WBQ493" s="106"/>
      <c r="WBR493" s="106"/>
      <c r="WBS493" s="106"/>
      <c r="WBT493" s="106"/>
      <c r="WBU493" s="106"/>
      <c r="WBV493" s="106"/>
      <c r="WBW493" s="106"/>
      <c r="WBX493" s="106"/>
      <c r="WBY493" s="106"/>
      <c r="WBZ493" s="106"/>
      <c r="WCA493" s="106"/>
      <c r="WCB493" s="106"/>
      <c r="WCC493" s="106"/>
      <c r="WCD493" s="106"/>
      <c r="WCE493" s="106"/>
      <c r="WCF493" s="106"/>
      <c r="WCG493" s="106"/>
      <c r="WCH493" s="106"/>
      <c r="WCI493" s="106"/>
      <c r="WCJ493" s="106"/>
      <c r="WCK493" s="106"/>
      <c r="WCL493" s="106"/>
      <c r="WCM493" s="106"/>
      <c r="WCN493" s="106"/>
      <c r="WCO493" s="106"/>
      <c r="WCP493" s="106"/>
      <c r="WCQ493" s="106"/>
      <c r="WCR493" s="106"/>
      <c r="WCS493" s="106"/>
      <c r="WCT493" s="106"/>
      <c r="WCU493" s="106"/>
      <c r="WCV493" s="106"/>
      <c r="WCW493" s="106"/>
      <c r="WCX493" s="106"/>
      <c r="WCY493" s="106"/>
      <c r="WCZ493" s="106"/>
      <c r="WDA493" s="106"/>
      <c r="WDB493" s="106"/>
      <c r="WDC493" s="106"/>
      <c r="WDD493" s="106"/>
      <c r="WDE493" s="106"/>
      <c r="WDF493" s="106"/>
      <c r="WDG493" s="106"/>
      <c r="WDH493" s="106"/>
      <c r="WDI493" s="106"/>
      <c r="WDJ493" s="106"/>
      <c r="WDK493" s="106"/>
      <c r="WDL493" s="106"/>
      <c r="WDM493" s="106"/>
      <c r="WDN493" s="106"/>
      <c r="WDO493" s="106"/>
      <c r="WDP493" s="106"/>
      <c r="WDQ493" s="106"/>
      <c r="WDR493" s="106"/>
      <c r="WDS493" s="106"/>
      <c r="WDT493" s="106"/>
      <c r="WDU493" s="106"/>
      <c r="WDV493" s="106"/>
      <c r="WDW493" s="106"/>
      <c r="WDX493" s="106"/>
      <c r="WDY493" s="106"/>
      <c r="WDZ493" s="106"/>
      <c r="WEA493" s="106"/>
      <c r="WEB493" s="106"/>
      <c r="WEC493" s="106"/>
      <c r="WED493" s="106"/>
      <c r="WEE493" s="106"/>
      <c r="WEF493" s="106"/>
      <c r="WEG493" s="106"/>
      <c r="WEH493" s="106"/>
      <c r="WEI493" s="106"/>
      <c r="WEJ493" s="106"/>
      <c r="WEK493" s="106"/>
      <c r="WEL493" s="106"/>
      <c r="WEM493" s="106"/>
      <c r="WEN493" s="106"/>
      <c r="WEO493" s="106"/>
      <c r="WEP493" s="106"/>
      <c r="WEQ493" s="106"/>
      <c r="WER493" s="106"/>
      <c r="WES493" s="106"/>
      <c r="WET493" s="106"/>
      <c r="WEU493" s="106"/>
      <c r="WEV493" s="106"/>
      <c r="WEW493" s="106"/>
      <c r="WEX493" s="106"/>
      <c r="WEY493" s="106"/>
      <c r="WEZ493" s="106"/>
      <c r="WFA493" s="106"/>
      <c r="WFB493" s="106"/>
      <c r="WFC493" s="106"/>
      <c r="WFD493" s="106"/>
      <c r="WFE493" s="106"/>
      <c r="WFF493" s="106"/>
      <c r="WFG493" s="106"/>
      <c r="WFH493" s="106"/>
      <c r="WFI493" s="106"/>
      <c r="WFJ493" s="106"/>
      <c r="WFK493" s="106"/>
      <c r="WFL493" s="106"/>
      <c r="WFM493" s="106"/>
      <c r="WFN493" s="106"/>
      <c r="WFO493" s="106"/>
      <c r="WFP493" s="106"/>
      <c r="WFQ493" s="106"/>
      <c r="WFR493" s="106"/>
      <c r="WFS493" s="106"/>
      <c r="WFT493" s="106"/>
      <c r="WFU493" s="106"/>
      <c r="WFV493" s="106"/>
      <c r="WFW493" s="106"/>
      <c r="WFX493" s="106"/>
      <c r="WFY493" s="106"/>
      <c r="WFZ493" s="106"/>
      <c r="WGA493" s="106"/>
      <c r="WGB493" s="106"/>
      <c r="WGC493" s="106"/>
      <c r="WGD493" s="106"/>
      <c r="WGE493" s="106"/>
      <c r="WGF493" s="106"/>
      <c r="WGG493" s="106"/>
      <c r="WGH493" s="106"/>
      <c r="WGI493" s="106"/>
      <c r="WGJ493" s="106"/>
      <c r="WGK493" s="106"/>
      <c r="WGL493" s="106"/>
      <c r="WGM493" s="106"/>
      <c r="WGN493" s="106"/>
      <c r="WGO493" s="106"/>
      <c r="WGP493" s="106"/>
      <c r="WGQ493" s="106"/>
      <c r="WGR493" s="106"/>
      <c r="WGS493" s="106"/>
      <c r="WGT493" s="106"/>
      <c r="WGU493" s="106"/>
      <c r="WGV493" s="106"/>
      <c r="WGW493" s="106"/>
      <c r="WGX493" s="106"/>
      <c r="WGY493" s="106"/>
      <c r="WGZ493" s="106"/>
      <c r="WHA493" s="106"/>
      <c r="WHB493" s="106"/>
      <c r="WHC493" s="106"/>
      <c r="WHD493" s="106"/>
      <c r="WHE493" s="106"/>
      <c r="WHF493" s="106"/>
      <c r="WHG493" s="106"/>
      <c r="WHH493" s="106"/>
      <c r="WHI493" s="106"/>
      <c r="WHJ493" s="106"/>
      <c r="WHK493" s="106"/>
      <c r="WHL493" s="106"/>
      <c r="WHM493" s="106"/>
      <c r="WHN493" s="106"/>
      <c r="WHO493" s="106"/>
      <c r="WHP493" s="106"/>
      <c r="WHQ493" s="106"/>
      <c r="WHR493" s="106"/>
      <c r="WHS493" s="106"/>
      <c r="WHT493" s="106"/>
      <c r="WHU493" s="106"/>
      <c r="WHV493" s="106"/>
      <c r="WHW493" s="106"/>
      <c r="WHX493" s="106"/>
      <c r="WHY493" s="106"/>
      <c r="WHZ493" s="106"/>
      <c r="WIA493" s="106"/>
      <c r="WIB493" s="106"/>
      <c r="WIC493" s="106"/>
      <c r="WID493" s="106"/>
      <c r="WIE493" s="106"/>
      <c r="WIF493" s="106"/>
      <c r="WIG493" s="106"/>
      <c r="WIH493" s="106"/>
      <c r="WII493" s="106"/>
      <c r="WIJ493" s="106"/>
      <c r="WIK493" s="106"/>
      <c r="WIL493" s="106"/>
      <c r="WIM493" s="106"/>
      <c r="WIN493" s="106"/>
      <c r="WIO493" s="106"/>
      <c r="WIP493" s="106"/>
      <c r="WIQ493" s="106"/>
      <c r="WIR493" s="106"/>
      <c r="WIS493" s="106"/>
      <c r="WIT493" s="106"/>
      <c r="WIU493" s="106"/>
      <c r="WIV493" s="106"/>
      <c r="WIW493" s="106"/>
      <c r="WIX493" s="106"/>
      <c r="WIY493" s="106"/>
      <c r="WIZ493" s="106"/>
      <c r="WJA493" s="106"/>
      <c r="WJB493" s="106"/>
      <c r="WJC493" s="106"/>
      <c r="WJD493" s="106"/>
      <c r="WJE493" s="106"/>
      <c r="WJF493" s="106"/>
      <c r="WJG493" s="106"/>
      <c r="WJH493" s="106"/>
      <c r="WJI493" s="106"/>
      <c r="WJJ493" s="106"/>
      <c r="WJK493" s="106"/>
      <c r="WJL493" s="106"/>
      <c r="WJM493" s="106"/>
      <c r="WJN493" s="106"/>
      <c r="WJO493" s="106"/>
      <c r="WJP493" s="106"/>
      <c r="WJQ493" s="106"/>
      <c r="WJR493" s="106"/>
      <c r="WJS493" s="106"/>
      <c r="WJT493" s="106"/>
      <c r="WJU493" s="106"/>
      <c r="WJV493" s="106"/>
      <c r="WJW493" s="106"/>
      <c r="WJX493" s="106"/>
      <c r="WJY493" s="106"/>
      <c r="WJZ493" s="106"/>
      <c r="WKA493" s="106"/>
      <c r="WKB493" s="106"/>
      <c r="WKC493" s="106"/>
      <c r="WKD493" s="106"/>
      <c r="WKE493" s="106"/>
      <c r="WKF493" s="106"/>
      <c r="WKG493" s="106"/>
      <c r="WKH493" s="106"/>
      <c r="WKI493" s="106"/>
      <c r="WKJ493" s="106"/>
      <c r="WKK493" s="106"/>
      <c r="WKL493" s="106"/>
      <c r="WKM493" s="106"/>
      <c r="WKN493" s="106"/>
      <c r="WKO493" s="106"/>
      <c r="WKP493" s="106"/>
      <c r="WKQ493" s="106"/>
      <c r="WKR493" s="106"/>
      <c r="WKS493" s="106"/>
      <c r="WKT493" s="106"/>
      <c r="WKU493" s="106"/>
      <c r="WKV493" s="106"/>
      <c r="WKW493" s="106"/>
      <c r="WKX493" s="106"/>
      <c r="WKY493" s="106"/>
      <c r="WKZ493" s="106"/>
      <c r="WLA493" s="106"/>
      <c r="WLB493" s="106"/>
      <c r="WLC493" s="106"/>
      <c r="WLD493" s="106"/>
      <c r="WLE493" s="106"/>
      <c r="WLF493" s="106"/>
      <c r="WLG493" s="106"/>
      <c r="WLH493" s="106"/>
      <c r="WLI493" s="106"/>
      <c r="WLJ493" s="106"/>
      <c r="WLK493" s="106"/>
      <c r="WLL493" s="106"/>
      <c r="WLM493" s="106"/>
      <c r="WLN493" s="106"/>
      <c r="WLO493" s="106"/>
      <c r="WLP493" s="106"/>
      <c r="WLQ493" s="106"/>
      <c r="WLR493" s="106"/>
      <c r="WLS493" s="106"/>
      <c r="WLT493" s="106"/>
      <c r="WLU493" s="106"/>
      <c r="WLV493" s="106"/>
      <c r="WLW493" s="106"/>
      <c r="WLX493" s="106"/>
      <c r="WLY493" s="106"/>
      <c r="WLZ493" s="106"/>
      <c r="WMA493" s="106"/>
      <c r="WMB493" s="106"/>
      <c r="WMC493" s="106"/>
      <c r="WMD493" s="106"/>
      <c r="WME493" s="106"/>
      <c r="WMF493" s="106"/>
      <c r="WMG493" s="106"/>
      <c r="WMH493" s="106"/>
      <c r="WMI493" s="106"/>
      <c r="WMJ493" s="106"/>
      <c r="WMK493" s="106"/>
      <c r="WML493" s="106"/>
      <c r="WMM493" s="106"/>
      <c r="WMN493" s="106"/>
      <c r="WMO493" s="106"/>
      <c r="WMP493" s="106"/>
      <c r="WMQ493" s="106"/>
      <c r="WMR493" s="106"/>
      <c r="WMS493" s="106"/>
      <c r="WMT493" s="106"/>
      <c r="WMU493" s="106"/>
      <c r="WMV493" s="106"/>
      <c r="WMW493" s="106"/>
      <c r="WMX493" s="106"/>
      <c r="WMY493" s="106"/>
      <c r="WMZ493" s="106"/>
      <c r="WNA493" s="106"/>
      <c r="WNB493" s="106"/>
      <c r="WNC493" s="106"/>
      <c r="WND493" s="106"/>
      <c r="WNE493" s="106"/>
      <c r="WNF493" s="106"/>
      <c r="WNG493" s="106"/>
      <c r="WNH493" s="106"/>
      <c r="WNI493" s="106"/>
      <c r="WNJ493" s="106"/>
      <c r="WNK493" s="106"/>
      <c r="WNL493" s="106"/>
      <c r="WNM493" s="106"/>
      <c r="WNN493" s="106"/>
      <c r="WNO493" s="106"/>
      <c r="WNP493" s="106"/>
      <c r="WNQ493" s="106"/>
      <c r="WNR493" s="106"/>
      <c r="WNS493" s="106"/>
      <c r="WNT493" s="106"/>
      <c r="WNU493" s="106"/>
      <c r="WNV493" s="106"/>
      <c r="WNW493" s="106"/>
      <c r="WNX493" s="106"/>
      <c r="WNY493" s="106"/>
      <c r="WNZ493" s="106"/>
      <c r="WOA493" s="106"/>
      <c r="WOB493" s="106"/>
      <c r="WOC493" s="106"/>
      <c r="WOD493" s="106"/>
      <c r="WOE493" s="106"/>
      <c r="WOF493" s="106"/>
      <c r="WOG493" s="106"/>
      <c r="WOH493" s="106"/>
      <c r="WOI493" s="106"/>
      <c r="WOJ493" s="106"/>
      <c r="WOK493" s="106"/>
      <c r="WOL493" s="106"/>
      <c r="WOM493" s="106"/>
      <c r="WON493" s="106"/>
      <c r="WOO493" s="106"/>
      <c r="WOP493" s="106"/>
      <c r="WOQ493" s="106"/>
      <c r="WOR493" s="106"/>
      <c r="WOS493" s="106"/>
      <c r="WOT493" s="106"/>
      <c r="WOU493" s="106"/>
      <c r="WOV493" s="106"/>
      <c r="WOW493" s="106"/>
      <c r="WOX493" s="106"/>
      <c r="WOY493" s="106"/>
      <c r="WOZ493" s="106"/>
      <c r="WPA493" s="106"/>
      <c r="WPB493" s="106"/>
      <c r="WPC493" s="106"/>
      <c r="WPD493" s="106"/>
      <c r="WPE493" s="106"/>
      <c r="WPF493" s="106"/>
      <c r="WPG493" s="106"/>
      <c r="WPH493" s="106"/>
      <c r="WPI493" s="106"/>
      <c r="WPJ493" s="106"/>
      <c r="WPK493" s="106"/>
      <c r="WPL493" s="106"/>
      <c r="WPM493" s="106"/>
      <c r="WPN493" s="106"/>
      <c r="WPO493" s="106"/>
      <c r="WPP493" s="106"/>
      <c r="WPQ493" s="106"/>
      <c r="WPR493" s="106"/>
      <c r="WPS493" s="106"/>
      <c r="WPT493" s="106"/>
      <c r="WPU493" s="106"/>
      <c r="WPV493" s="106"/>
      <c r="WPW493" s="106"/>
      <c r="WPX493" s="106"/>
      <c r="WPY493" s="106"/>
      <c r="WPZ493" s="106"/>
      <c r="WQA493" s="106"/>
      <c r="WQB493" s="106"/>
      <c r="WQC493" s="106"/>
      <c r="WQD493" s="106"/>
      <c r="WQE493" s="106"/>
      <c r="WQF493" s="106"/>
      <c r="WQG493" s="106"/>
      <c r="WQH493" s="106"/>
      <c r="WQI493" s="106"/>
      <c r="WQJ493" s="106"/>
      <c r="WQK493" s="106"/>
      <c r="WQL493" s="106"/>
      <c r="WQM493" s="106"/>
      <c r="WQN493" s="106"/>
      <c r="WQO493" s="106"/>
      <c r="WQP493" s="106"/>
      <c r="WQQ493" s="106"/>
      <c r="WQR493" s="106"/>
      <c r="WQS493" s="106"/>
      <c r="WQT493" s="106"/>
      <c r="WQU493" s="106"/>
      <c r="WQV493" s="106"/>
      <c r="WQW493" s="106"/>
      <c r="WQX493" s="106"/>
      <c r="WQY493" s="106"/>
      <c r="WQZ493" s="106"/>
      <c r="WRA493" s="106"/>
      <c r="WRB493" s="106"/>
      <c r="WRC493" s="106"/>
      <c r="WRD493" s="106"/>
      <c r="WRE493" s="106"/>
      <c r="WRF493" s="106"/>
      <c r="WRG493" s="106"/>
      <c r="WRH493" s="106"/>
      <c r="WRI493" s="106"/>
      <c r="WRJ493" s="106"/>
      <c r="WRK493" s="106"/>
      <c r="WRL493" s="106"/>
      <c r="WRM493" s="106"/>
      <c r="WRN493" s="106"/>
      <c r="WRO493" s="106"/>
      <c r="WRP493" s="106"/>
      <c r="WRQ493" s="106"/>
      <c r="WRR493" s="106"/>
      <c r="WRS493" s="106"/>
      <c r="WRT493" s="106"/>
      <c r="WRU493" s="106"/>
      <c r="WRV493" s="106"/>
      <c r="WRW493" s="106"/>
      <c r="WRX493" s="106"/>
      <c r="WRY493" s="106"/>
      <c r="WRZ493" s="106"/>
      <c r="WSA493" s="106"/>
      <c r="WSB493" s="106"/>
      <c r="WSC493" s="106"/>
      <c r="WSD493" s="106"/>
      <c r="WSE493" s="106"/>
      <c r="WSF493" s="106"/>
      <c r="WSG493" s="106"/>
      <c r="WSH493" s="106"/>
      <c r="WSI493" s="106"/>
      <c r="WSJ493" s="106"/>
      <c r="WSK493" s="106"/>
      <c r="WSL493" s="106"/>
      <c r="WSM493" s="106"/>
      <c r="WSN493" s="106"/>
      <c r="WSO493" s="106"/>
      <c r="WSP493" s="106"/>
      <c r="WSQ493" s="106"/>
      <c r="WSR493" s="106"/>
      <c r="WSS493" s="106"/>
      <c r="WST493" s="106"/>
      <c r="WSU493" s="106"/>
      <c r="WSV493" s="106"/>
      <c r="WSW493" s="106"/>
      <c r="WSX493" s="106"/>
      <c r="WSY493" s="106"/>
      <c r="WSZ493" s="106"/>
      <c r="WTA493" s="106"/>
      <c r="WTB493" s="106"/>
      <c r="WTC493" s="106"/>
      <c r="WTD493" s="106"/>
      <c r="WTE493" s="106"/>
      <c r="WTF493" s="106"/>
      <c r="WTG493" s="106"/>
      <c r="WTH493" s="106"/>
      <c r="WTI493" s="106"/>
      <c r="WTJ493" s="106"/>
      <c r="WTK493" s="106"/>
      <c r="WTL493" s="106"/>
      <c r="WTM493" s="106"/>
      <c r="WTN493" s="106"/>
      <c r="WTO493" s="106"/>
      <c r="WTP493" s="106"/>
      <c r="WTQ493" s="106"/>
      <c r="WTR493" s="106"/>
      <c r="WTS493" s="106"/>
      <c r="WTT493" s="106"/>
      <c r="WTU493" s="106"/>
      <c r="WTV493" s="106"/>
      <c r="WTW493" s="106"/>
      <c r="WTX493" s="106"/>
      <c r="WTY493" s="106"/>
      <c r="WTZ493" s="106"/>
      <c r="WUA493" s="106"/>
      <c r="WUB493" s="106"/>
      <c r="WUC493" s="106"/>
      <c r="WUD493" s="106"/>
      <c r="WUE493" s="106"/>
      <c r="WUF493" s="106"/>
      <c r="WUG493" s="106"/>
      <c r="WUH493" s="106"/>
      <c r="WUI493" s="106"/>
      <c r="WUJ493" s="106"/>
      <c r="WUK493" s="106"/>
      <c r="WUL493" s="106"/>
      <c r="WUM493" s="106"/>
      <c r="WUN493" s="106"/>
      <c r="WUO493" s="106"/>
      <c r="WUP493" s="106"/>
      <c r="WUQ493" s="106"/>
      <c r="WUR493" s="106"/>
      <c r="WUS493" s="106"/>
      <c r="WUT493" s="106"/>
      <c r="WUU493" s="106"/>
      <c r="WUV493" s="106"/>
      <c r="WUW493" s="106"/>
      <c r="WUX493" s="106"/>
      <c r="WUY493" s="106"/>
      <c r="WUZ493" s="106"/>
      <c r="WVA493" s="106"/>
      <c r="WVB493" s="106"/>
      <c r="WVC493" s="106"/>
      <c r="WVD493" s="106"/>
      <c r="WVE493" s="106"/>
      <c r="WVF493" s="106"/>
      <c r="WVG493" s="106"/>
      <c r="WVH493" s="106"/>
      <c r="WVI493" s="106"/>
      <c r="WVJ493" s="106"/>
      <c r="WVK493" s="106"/>
      <c r="WVL493" s="106"/>
      <c r="WVM493" s="106"/>
      <c r="WVN493" s="106"/>
      <c r="WVO493" s="106"/>
      <c r="WVP493" s="106"/>
      <c r="WVQ493" s="106"/>
      <c r="WVR493" s="106"/>
      <c r="WVS493" s="106"/>
      <c r="WVT493" s="106"/>
      <c r="WVU493" s="106"/>
      <c r="WVV493" s="106"/>
      <c r="WVW493" s="106"/>
      <c r="WVX493" s="106"/>
      <c r="WVY493" s="106"/>
      <c r="WVZ493" s="106"/>
      <c r="WWA493" s="106"/>
      <c r="WWB493" s="106"/>
      <c r="WWC493" s="106"/>
      <c r="WWD493" s="106"/>
      <c r="WWE493" s="106"/>
      <c r="WWF493" s="106"/>
      <c r="WWG493" s="106"/>
      <c r="WWH493" s="106"/>
      <c r="WWI493" s="106"/>
      <c r="WWJ493" s="106"/>
      <c r="WWK493" s="106"/>
      <c r="WWL493" s="106"/>
      <c r="WWM493" s="106"/>
      <c r="WWN493" s="106"/>
      <c r="WWO493" s="106"/>
      <c r="WWP493" s="106"/>
      <c r="WWQ493" s="106"/>
      <c r="WWR493" s="106"/>
      <c r="WWS493" s="106"/>
      <c r="WWT493" s="106"/>
      <c r="WWU493" s="106"/>
      <c r="WWV493" s="106"/>
      <c r="WWW493" s="106"/>
      <c r="WWX493" s="106"/>
      <c r="WWY493" s="106"/>
      <c r="WWZ493" s="106"/>
      <c r="WXA493" s="106"/>
      <c r="WXB493" s="106"/>
      <c r="WXC493" s="106"/>
      <c r="WXD493" s="106"/>
      <c r="WXE493" s="106"/>
      <c r="WXF493" s="106"/>
      <c r="WXG493" s="106"/>
      <c r="WXH493" s="106"/>
      <c r="WXI493" s="106"/>
      <c r="WXJ493" s="106"/>
      <c r="WXK493" s="106"/>
      <c r="WXL493" s="106"/>
      <c r="WXM493" s="106"/>
      <c r="WXN493" s="106"/>
      <c r="WXO493" s="106"/>
      <c r="WXP493" s="106"/>
      <c r="WXQ493" s="106"/>
      <c r="WXR493" s="106"/>
      <c r="WXS493" s="106"/>
      <c r="WXT493" s="106"/>
      <c r="WXU493" s="106"/>
      <c r="WXV493" s="106"/>
      <c r="WXW493" s="106"/>
      <c r="WXX493" s="106"/>
      <c r="WXY493" s="106"/>
      <c r="WXZ493" s="106"/>
      <c r="WYA493" s="106"/>
      <c r="WYB493" s="106"/>
      <c r="WYC493" s="106"/>
      <c r="WYD493" s="106"/>
      <c r="WYE493" s="106"/>
      <c r="WYF493" s="106"/>
      <c r="WYG493" s="106"/>
      <c r="WYH493" s="106"/>
      <c r="WYI493" s="106"/>
      <c r="WYJ493" s="106"/>
      <c r="WYK493" s="106"/>
      <c r="WYL493" s="106"/>
      <c r="WYM493" s="106"/>
      <c r="WYN493" s="106"/>
      <c r="WYO493" s="106"/>
      <c r="WYP493" s="106"/>
      <c r="WYQ493" s="106"/>
      <c r="WYR493" s="106"/>
      <c r="WYS493" s="106"/>
      <c r="WYT493" s="106"/>
      <c r="WYU493" s="106"/>
      <c r="WYV493" s="106"/>
      <c r="WYW493" s="106"/>
      <c r="WYX493" s="106"/>
      <c r="WYY493" s="106"/>
      <c r="WYZ493" s="106"/>
      <c r="WZA493" s="106"/>
      <c r="WZB493" s="106"/>
      <c r="WZC493" s="106"/>
      <c r="WZD493" s="106"/>
      <c r="WZE493" s="106"/>
      <c r="WZF493" s="106"/>
      <c r="WZG493" s="106"/>
      <c r="WZH493" s="106"/>
      <c r="WZI493" s="106"/>
      <c r="WZJ493" s="106"/>
      <c r="WZK493" s="106"/>
      <c r="WZL493" s="106"/>
      <c r="WZM493" s="106"/>
      <c r="WZN493" s="106"/>
      <c r="WZO493" s="106"/>
      <c r="WZP493" s="106"/>
      <c r="WZQ493" s="106"/>
      <c r="WZR493" s="106"/>
      <c r="WZS493" s="106"/>
      <c r="WZT493" s="106"/>
      <c r="WZU493" s="106"/>
      <c r="WZV493" s="106"/>
      <c r="WZW493" s="106"/>
      <c r="WZX493" s="106"/>
      <c r="WZY493" s="106"/>
      <c r="WZZ493" s="106"/>
      <c r="XAA493" s="106"/>
      <c r="XAB493" s="106"/>
      <c r="XAC493" s="106"/>
      <c r="XAD493" s="106"/>
      <c r="XAE493" s="106"/>
      <c r="XAF493" s="106"/>
      <c r="XAG493" s="106"/>
      <c r="XAH493" s="106"/>
      <c r="XAI493" s="106"/>
      <c r="XAJ493" s="106"/>
      <c r="XAK493" s="106"/>
      <c r="XAL493" s="106"/>
      <c r="XAM493" s="106"/>
      <c r="XAN493" s="106"/>
      <c r="XAO493" s="106"/>
      <c r="XAP493" s="106"/>
      <c r="XAQ493" s="106"/>
      <c r="XAR493" s="106"/>
      <c r="XAS493" s="106"/>
      <c r="XAT493" s="106"/>
      <c r="XAU493" s="106"/>
      <c r="XAV493" s="106"/>
      <c r="XAW493" s="106"/>
      <c r="XAX493" s="106"/>
      <c r="XAY493" s="106"/>
      <c r="XAZ493" s="106"/>
      <c r="XBA493" s="106"/>
      <c r="XBB493" s="106"/>
      <c r="XBC493" s="106"/>
      <c r="XBD493" s="106"/>
      <c r="XBE493" s="106"/>
      <c r="XBF493" s="106"/>
      <c r="XBG493" s="106"/>
      <c r="XBH493" s="106"/>
      <c r="XBI493" s="106"/>
      <c r="XBJ493" s="106"/>
      <c r="XBK493" s="106"/>
      <c r="XBL493" s="106"/>
      <c r="XBM493" s="106"/>
      <c r="XBN493" s="106"/>
      <c r="XBO493" s="106"/>
      <c r="XBP493" s="106"/>
      <c r="XBQ493" s="106"/>
      <c r="XBR493" s="106"/>
      <c r="XBS493" s="106"/>
      <c r="XBT493" s="106"/>
      <c r="XBU493" s="106"/>
      <c r="XBV493" s="106"/>
      <c r="XBW493" s="106"/>
      <c r="XBX493" s="106"/>
      <c r="XBY493" s="106"/>
      <c r="XBZ493" s="106"/>
      <c r="XCA493" s="106"/>
      <c r="XCB493" s="106"/>
      <c r="XCC493" s="106"/>
      <c r="XCD493" s="106"/>
      <c r="XCE493" s="106"/>
      <c r="XCF493" s="106"/>
      <c r="XCG493" s="106"/>
      <c r="XCH493" s="106"/>
      <c r="XCI493" s="106"/>
      <c r="XCJ493" s="106"/>
      <c r="XCK493" s="106"/>
      <c r="XCL493" s="106"/>
      <c r="XCM493" s="106"/>
      <c r="XCN493" s="106"/>
      <c r="XCO493" s="106"/>
      <c r="XCP493" s="106"/>
      <c r="XCQ493" s="106"/>
      <c r="XCR493" s="106"/>
      <c r="XCS493" s="106"/>
      <c r="XCT493" s="106"/>
      <c r="XCU493" s="106"/>
      <c r="XCV493" s="106"/>
      <c r="XCW493" s="106"/>
      <c r="XCX493" s="106"/>
      <c r="XCY493" s="106"/>
      <c r="XCZ493" s="106"/>
      <c r="XDA493" s="106"/>
      <c r="XDB493" s="106"/>
      <c r="XDC493" s="106"/>
      <c r="XDD493" s="106"/>
      <c r="XDE493" s="106"/>
      <c r="XDF493" s="106"/>
      <c r="XDG493" s="106"/>
      <c r="XDH493" s="106"/>
      <c r="XDI493" s="106"/>
      <c r="XDJ493" s="106"/>
      <c r="XDK493" s="106"/>
      <c r="XDL493" s="106"/>
      <c r="XDM493" s="106"/>
      <c r="XDN493" s="106"/>
      <c r="XDO493" s="106"/>
      <c r="XDP493" s="106"/>
      <c r="XDQ493" s="106"/>
      <c r="XDR493" s="106"/>
      <c r="XDS493" s="106"/>
      <c r="XDT493" s="106"/>
      <c r="XDU493" s="106"/>
      <c r="XDV493" s="106"/>
      <c r="XDW493" s="106"/>
      <c r="XDX493" s="106"/>
      <c r="XDY493" s="106"/>
      <c r="XDZ493" s="106"/>
      <c r="XEA493" s="106"/>
      <c r="XEB493" s="106"/>
      <c r="XEC493" s="106"/>
      <c r="XED493" s="106"/>
      <c r="XEE493" s="106"/>
      <c r="XEF493" s="106"/>
      <c r="XEG493" s="106"/>
      <c r="XEH493" s="106"/>
      <c r="XEI493" s="106"/>
      <c r="XEJ493" s="106"/>
      <c r="XEK493" s="106"/>
      <c r="XEL493" s="106"/>
      <c r="XEM493" s="106"/>
      <c r="XEN493" s="106"/>
      <c r="XEO493" s="106"/>
      <c r="XEP493" s="106"/>
      <c r="XEQ493" s="106"/>
      <c r="XER493" s="106"/>
      <c r="XES493" s="106"/>
      <c r="XET493" s="106"/>
      <c r="XEU493" s="106"/>
      <c r="XEV493" s="106"/>
    </row>
    <row r="494" spans="1:16379" s="109" customFormat="1" ht="20.25" customHeight="1" x14ac:dyDescent="0.3">
      <c r="A494" s="100" t="s">
        <v>377</v>
      </c>
      <c r="B494" s="68" t="s">
        <v>480</v>
      </c>
      <c r="C494" s="68" t="s">
        <v>69</v>
      </c>
      <c r="D494" s="67" t="s">
        <v>70</v>
      </c>
      <c r="E494" s="68" t="s">
        <v>69</v>
      </c>
      <c r="F494" s="102" t="s">
        <v>444</v>
      </c>
      <c r="G494" s="103">
        <v>21601</v>
      </c>
      <c r="H494" s="71" t="s">
        <v>613</v>
      </c>
      <c r="I494" s="67" t="s">
        <v>632</v>
      </c>
      <c r="J494" s="110" t="s">
        <v>633</v>
      </c>
      <c r="K494" s="72" t="s">
        <v>379</v>
      </c>
      <c r="L494" s="73" t="s">
        <v>379</v>
      </c>
      <c r="M494" s="67" t="s">
        <v>383</v>
      </c>
      <c r="N494" s="69">
        <f t="shared" si="25"/>
        <v>5</v>
      </c>
      <c r="O494" s="105">
        <v>399</v>
      </c>
      <c r="P494" s="75" t="s">
        <v>484</v>
      </c>
      <c r="Q494" s="76">
        <f t="shared" si="23"/>
        <v>1995</v>
      </c>
      <c r="R494" s="105"/>
      <c r="S494" s="105">
        <f>1*O494</f>
        <v>399</v>
      </c>
      <c r="T494" s="105"/>
      <c r="U494" s="105">
        <f>S494</f>
        <v>399</v>
      </c>
      <c r="V494" s="105"/>
      <c r="W494" s="105">
        <f>U494</f>
        <v>399</v>
      </c>
      <c r="X494" s="105"/>
      <c r="Y494" s="105">
        <f>W494</f>
        <v>399</v>
      </c>
      <c r="Z494" s="108"/>
      <c r="AA494" s="105">
        <f>Y494</f>
        <v>399</v>
      </c>
      <c r="AB494" s="105"/>
      <c r="AC494" s="105"/>
    </row>
    <row r="495" spans="1:16379" s="109" customFormat="1" ht="20.25" customHeight="1" x14ac:dyDescent="0.3">
      <c r="A495" s="100" t="s">
        <v>377</v>
      </c>
      <c r="B495" s="68" t="s">
        <v>480</v>
      </c>
      <c r="C495" s="68" t="s">
        <v>69</v>
      </c>
      <c r="D495" s="67" t="s">
        <v>70</v>
      </c>
      <c r="E495" s="68" t="s">
        <v>69</v>
      </c>
      <c r="F495" s="102" t="s">
        <v>444</v>
      </c>
      <c r="G495" s="103">
        <v>21601</v>
      </c>
      <c r="H495" s="71" t="s">
        <v>613</v>
      </c>
      <c r="I495" s="102" t="s">
        <v>634</v>
      </c>
      <c r="J495" s="110" t="s">
        <v>635</v>
      </c>
      <c r="K495" s="72" t="s">
        <v>379</v>
      </c>
      <c r="L495" s="73" t="s">
        <v>379</v>
      </c>
      <c r="M495" s="67" t="s">
        <v>383</v>
      </c>
      <c r="N495" s="69">
        <f t="shared" si="25"/>
        <v>23</v>
      </c>
      <c r="O495" s="105">
        <v>152</v>
      </c>
      <c r="P495" s="75" t="s">
        <v>484</v>
      </c>
      <c r="Q495" s="76">
        <f t="shared" si="23"/>
        <v>3496</v>
      </c>
      <c r="R495" s="105"/>
      <c r="S495" s="105">
        <f>1*O495</f>
        <v>152</v>
      </c>
      <c r="T495" s="105">
        <f>3*O495</f>
        <v>456</v>
      </c>
      <c r="U495" s="105">
        <f>S495</f>
        <v>152</v>
      </c>
      <c r="V495" s="105">
        <f>T495</f>
        <v>456</v>
      </c>
      <c r="W495" s="105">
        <f>U495</f>
        <v>152</v>
      </c>
      <c r="X495" s="105">
        <f>V495</f>
        <v>456</v>
      </c>
      <c r="Y495" s="105">
        <f>W495</f>
        <v>152</v>
      </c>
      <c r="Z495" s="108">
        <f>X495</f>
        <v>456</v>
      </c>
      <c r="AA495" s="105">
        <f>Y495</f>
        <v>152</v>
      </c>
      <c r="AB495" s="105">
        <f>Z495</f>
        <v>456</v>
      </c>
      <c r="AC495" s="105">
        <f>3*O495</f>
        <v>456</v>
      </c>
    </row>
    <row r="496" spans="1:16379" s="109" customFormat="1" ht="20.25" customHeight="1" x14ac:dyDescent="0.3">
      <c r="A496" s="100" t="s">
        <v>377</v>
      </c>
      <c r="B496" s="68" t="s">
        <v>480</v>
      </c>
      <c r="C496" s="68" t="s">
        <v>69</v>
      </c>
      <c r="D496" s="67" t="s">
        <v>74</v>
      </c>
      <c r="E496" s="68" t="s">
        <v>455</v>
      </c>
      <c r="F496" s="102" t="s">
        <v>444</v>
      </c>
      <c r="G496" s="103">
        <v>21601</v>
      </c>
      <c r="H496" s="71" t="s">
        <v>613</v>
      </c>
      <c r="I496" s="102" t="s">
        <v>634</v>
      </c>
      <c r="J496" s="110" t="s">
        <v>635</v>
      </c>
      <c r="K496" s="72" t="s">
        <v>379</v>
      </c>
      <c r="L496" s="73" t="s">
        <v>379</v>
      </c>
      <c r="M496" s="67" t="s">
        <v>383</v>
      </c>
      <c r="N496" s="69">
        <f t="shared" si="25"/>
        <v>20</v>
      </c>
      <c r="O496" s="105">
        <v>152</v>
      </c>
      <c r="P496" s="75" t="s">
        <v>484</v>
      </c>
      <c r="Q496" s="76">
        <f t="shared" si="23"/>
        <v>3040</v>
      </c>
      <c r="R496" s="105"/>
      <c r="S496" s="105"/>
      <c r="T496" s="105">
        <f>4*O496</f>
        <v>608</v>
      </c>
      <c r="U496" s="105">
        <f>4*O496</f>
        <v>608</v>
      </c>
      <c r="V496" s="105"/>
      <c r="W496" s="105"/>
      <c r="X496" s="105">
        <f>4*O496</f>
        <v>608</v>
      </c>
      <c r="Y496" s="105"/>
      <c r="Z496" s="105">
        <f>4*O496</f>
        <v>608</v>
      </c>
      <c r="AA496" s="105"/>
      <c r="AB496" s="105">
        <f>4*O496</f>
        <v>608</v>
      </c>
      <c r="AC496" s="105"/>
    </row>
    <row r="497" spans="1:29" s="77" customFormat="1" ht="20.25" customHeight="1" x14ac:dyDescent="0.3">
      <c r="A497" s="65" t="s">
        <v>377</v>
      </c>
      <c r="B497" s="66" t="s">
        <v>480</v>
      </c>
      <c r="C497" s="66" t="s">
        <v>69</v>
      </c>
      <c r="D497" s="83" t="s">
        <v>74</v>
      </c>
      <c r="E497" s="84" t="s">
        <v>455</v>
      </c>
      <c r="F497" s="69" t="s">
        <v>87</v>
      </c>
      <c r="G497" s="69">
        <v>24901</v>
      </c>
      <c r="H497" s="92" t="s">
        <v>598</v>
      </c>
      <c r="I497" s="67" t="s">
        <v>364</v>
      </c>
      <c r="J497" s="71" t="s">
        <v>636</v>
      </c>
      <c r="K497" s="72" t="s">
        <v>379</v>
      </c>
      <c r="L497" s="73" t="s">
        <v>379</v>
      </c>
      <c r="M497" s="72" t="s">
        <v>383</v>
      </c>
      <c r="N497" s="69">
        <f t="shared" si="25"/>
        <v>4</v>
      </c>
      <c r="O497" s="74">
        <v>179</v>
      </c>
      <c r="P497" s="75" t="s">
        <v>536</v>
      </c>
      <c r="Q497" s="76">
        <f t="shared" si="23"/>
        <v>716</v>
      </c>
      <c r="R497" s="76"/>
      <c r="S497" s="76"/>
      <c r="T497" s="76"/>
      <c r="U497" s="76"/>
      <c r="V497" s="76"/>
      <c r="W497" s="76">
        <f>4*O497</f>
        <v>716</v>
      </c>
      <c r="X497" s="76"/>
      <c r="Y497" s="76"/>
      <c r="Z497" s="76"/>
      <c r="AA497" s="76"/>
      <c r="AB497" s="76"/>
      <c r="AC497" s="76"/>
    </row>
    <row r="498" spans="1:29" s="77" customFormat="1" ht="20.25" customHeight="1" x14ac:dyDescent="0.3">
      <c r="A498" s="65" t="s">
        <v>377</v>
      </c>
      <c r="B498" s="66" t="s">
        <v>480</v>
      </c>
      <c r="C498" s="66" t="s">
        <v>69</v>
      </c>
      <c r="D498" s="83" t="s">
        <v>74</v>
      </c>
      <c r="E498" s="84" t="s">
        <v>572</v>
      </c>
      <c r="F498" s="85" t="s">
        <v>87</v>
      </c>
      <c r="G498" s="69">
        <v>29401</v>
      </c>
      <c r="H498" s="92" t="s">
        <v>551</v>
      </c>
      <c r="I498" s="67" t="s">
        <v>637</v>
      </c>
      <c r="J498" s="71" t="s">
        <v>638</v>
      </c>
      <c r="K498" s="72" t="s">
        <v>379</v>
      </c>
      <c r="L498" s="73" t="s">
        <v>379</v>
      </c>
      <c r="M498" s="72" t="s">
        <v>383</v>
      </c>
      <c r="N498" s="69">
        <f t="shared" si="25"/>
        <v>1</v>
      </c>
      <c r="O498" s="74">
        <v>75.005599999999987</v>
      </c>
      <c r="P498" s="75" t="s">
        <v>536</v>
      </c>
      <c r="Q498" s="76">
        <f t="shared" si="23"/>
        <v>75.005599999999987</v>
      </c>
      <c r="R498" s="76"/>
      <c r="S498" s="76"/>
      <c r="T498" s="76"/>
      <c r="U498" s="76"/>
      <c r="V498" s="76"/>
      <c r="W498" s="76">
        <f>1*O498</f>
        <v>75.005599999999987</v>
      </c>
      <c r="X498" s="76"/>
      <c r="Y498" s="76"/>
      <c r="Z498" s="76"/>
      <c r="AA498" s="76"/>
      <c r="AB498" s="76"/>
      <c r="AC498" s="76"/>
    </row>
    <row r="499" spans="1:29" s="77" customFormat="1" ht="20.25" customHeight="1" x14ac:dyDescent="0.3">
      <c r="A499" s="65" t="s">
        <v>377</v>
      </c>
      <c r="B499" s="66" t="s">
        <v>480</v>
      </c>
      <c r="C499" s="66" t="s">
        <v>69</v>
      </c>
      <c r="D499" s="83" t="s">
        <v>74</v>
      </c>
      <c r="E499" s="84" t="s">
        <v>455</v>
      </c>
      <c r="F499" s="85" t="s">
        <v>87</v>
      </c>
      <c r="G499" s="85">
        <v>37901</v>
      </c>
      <c r="H499" s="92" t="s">
        <v>606</v>
      </c>
      <c r="I499" s="72" t="s">
        <v>429</v>
      </c>
      <c r="J499" s="90" t="s">
        <v>607</v>
      </c>
      <c r="K499" s="72" t="s">
        <v>379</v>
      </c>
      <c r="L499" s="73" t="s">
        <v>379</v>
      </c>
      <c r="M499" s="72" t="s">
        <v>429</v>
      </c>
      <c r="N499" s="89">
        <f t="shared" si="25"/>
        <v>378</v>
      </c>
      <c r="O499" s="74">
        <v>270</v>
      </c>
      <c r="P499" s="75" t="s">
        <v>484</v>
      </c>
      <c r="Q499" s="76">
        <f t="shared" si="23"/>
        <v>102060</v>
      </c>
      <c r="R499" s="76">
        <f>33*270</f>
        <v>8910</v>
      </c>
      <c r="S499" s="76">
        <f>28.5*270</f>
        <v>7695</v>
      </c>
      <c r="T499" s="76">
        <f>33*270</f>
        <v>8910</v>
      </c>
      <c r="U499" s="76">
        <f>28.5*270</f>
        <v>7695</v>
      </c>
      <c r="V499" s="76">
        <f>31.5*270</f>
        <v>8505</v>
      </c>
      <c r="W499" s="76">
        <f>33*270</f>
        <v>8910</v>
      </c>
      <c r="X499" s="76">
        <f>31.5*270</f>
        <v>8505</v>
      </c>
      <c r="Y499" s="76">
        <f>34.5*270</f>
        <v>9315</v>
      </c>
      <c r="Z499" s="76">
        <f>31.5*270</f>
        <v>8505</v>
      </c>
      <c r="AA499" s="76">
        <f>33*270</f>
        <v>8910</v>
      </c>
      <c r="AB499" s="76">
        <f>30*270</f>
        <v>8100</v>
      </c>
      <c r="AC499" s="76">
        <f>30*270</f>
        <v>8100</v>
      </c>
    </row>
    <row r="500" spans="1:29" s="77" customFormat="1" ht="20.25" customHeight="1" x14ac:dyDescent="0.3">
      <c r="A500" s="65" t="s">
        <v>377</v>
      </c>
      <c r="B500" s="66" t="s">
        <v>480</v>
      </c>
      <c r="C500" s="66" t="s">
        <v>69</v>
      </c>
      <c r="D500" s="83" t="s">
        <v>74</v>
      </c>
      <c r="E500" s="84" t="s">
        <v>572</v>
      </c>
      <c r="F500" s="85" t="s">
        <v>639</v>
      </c>
      <c r="G500" s="85">
        <v>37901</v>
      </c>
      <c r="H500" s="92" t="s">
        <v>606</v>
      </c>
      <c r="I500" s="72" t="s">
        <v>429</v>
      </c>
      <c r="J500" s="90" t="s">
        <v>607</v>
      </c>
      <c r="K500" s="72" t="s">
        <v>379</v>
      </c>
      <c r="L500" s="73" t="s">
        <v>379</v>
      </c>
      <c r="M500" s="72" t="s">
        <v>429</v>
      </c>
      <c r="N500" s="89">
        <f t="shared" si="25"/>
        <v>51</v>
      </c>
      <c r="O500" s="74">
        <v>270</v>
      </c>
      <c r="P500" s="75" t="s">
        <v>484</v>
      </c>
      <c r="Q500" s="76">
        <f t="shared" si="23"/>
        <v>13770</v>
      </c>
      <c r="R500" s="76">
        <f>4*270</f>
        <v>1080</v>
      </c>
      <c r="S500" s="76">
        <f t="shared" ref="S500:Y500" si="27">4*270</f>
        <v>1080</v>
      </c>
      <c r="T500" s="76">
        <f t="shared" si="27"/>
        <v>1080</v>
      </c>
      <c r="U500" s="76">
        <f t="shared" si="27"/>
        <v>1080</v>
      </c>
      <c r="V500" s="76">
        <f t="shared" si="27"/>
        <v>1080</v>
      </c>
      <c r="W500" s="76">
        <f t="shared" si="27"/>
        <v>1080</v>
      </c>
      <c r="X500" s="76">
        <f t="shared" si="27"/>
        <v>1080</v>
      </c>
      <c r="Y500" s="76">
        <f t="shared" si="27"/>
        <v>1080</v>
      </c>
      <c r="Z500" s="76">
        <f>5*270</f>
        <v>1350</v>
      </c>
      <c r="AA500" s="76">
        <f t="shared" ref="AA500:AB500" si="28">5*270</f>
        <v>1350</v>
      </c>
      <c r="AB500" s="76">
        <f t="shared" si="28"/>
        <v>1350</v>
      </c>
      <c r="AC500" s="76">
        <f t="shared" ref="AC500" si="29">4*270</f>
        <v>1080</v>
      </c>
    </row>
    <row r="501" spans="1:29" s="4" customFormat="1" ht="30" customHeight="1" x14ac:dyDescent="0.3">
      <c r="A501" s="111" t="s">
        <v>640</v>
      </c>
      <c r="B501" s="111" t="s">
        <v>641</v>
      </c>
      <c r="C501" s="112" t="s">
        <v>69</v>
      </c>
      <c r="D501" s="67" t="s">
        <v>70</v>
      </c>
      <c r="E501" s="113" t="s">
        <v>69</v>
      </c>
      <c r="F501" s="67" t="s">
        <v>71</v>
      </c>
      <c r="G501" s="112">
        <v>21101</v>
      </c>
      <c r="H501" s="114" t="s">
        <v>500</v>
      </c>
      <c r="I501" s="115" t="s">
        <v>642</v>
      </c>
      <c r="J501" s="115" t="s">
        <v>643</v>
      </c>
      <c r="K501" s="116" t="s">
        <v>32</v>
      </c>
      <c r="L501" s="116" t="s">
        <v>32</v>
      </c>
      <c r="M501" s="116" t="s">
        <v>56</v>
      </c>
      <c r="N501" s="91">
        <v>4</v>
      </c>
      <c r="O501" s="91">
        <v>98</v>
      </c>
      <c r="P501" s="91" t="s">
        <v>60</v>
      </c>
      <c r="Q501" s="117">
        <v>392</v>
      </c>
      <c r="R501" s="117">
        <v>0</v>
      </c>
      <c r="S501" s="117">
        <v>0</v>
      </c>
      <c r="T501" s="117">
        <v>0</v>
      </c>
      <c r="U501" s="117">
        <v>0</v>
      </c>
      <c r="V501" s="117">
        <v>196</v>
      </c>
      <c r="W501" s="117">
        <v>0</v>
      </c>
      <c r="X501" s="117">
        <v>0</v>
      </c>
      <c r="Y501" s="117">
        <v>0</v>
      </c>
      <c r="Z501" s="117">
        <v>0</v>
      </c>
      <c r="AA501" s="117">
        <v>0</v>
      </c>
      <c r="AB501" s="117">
        <v>196</v>
      </c>
      <c r="AC501" s="117">
        <v>0</v>
      </c>
    </row>
    <row r="502" spans="1:29" s="4" customFormat="1" ht="30" customHeight="1" x14ac:dyDescent="0.3">
      <c r="A502" s="111" t="s">
        <v>640</v>
      </c>
      <c r="B502" s="111" t="s">
        <v>641</v>
      </c>
      <c r="C502" s="112" t="s">
        <v>69</v>
      </c>
      <c r="D502" s="67" t="s">
        <v>70</v>
      </c>
      <c r="E502" s="113" t="s">
        <v>69</v>
      </c>
      <c r="F502" s="67" t="s">
        <v>71</v>
      </c>
      <c r="G502" s="112">
        <v>21101</v>
      </c>
      <c r="H502" s="114" t="s">
        <v>500</v>
      </c>
      <c r="I502" s="115" t="s">
        <v>644</v>
      </c>
      <c r="J502" s="100" t="s">
        <v>645</v>
      </c>
      <c r="K502" s="116" t="s">
        <v>32</v>
      </c>
      <c r="L502" s="116" t="s">
        <v>32</v>
      </c>
      <c r="M502" s="116" t="s">
        <v>55</v>
      </c>
      <c r="N502" s="91">
        <v>6</v>
      </c>
      <c r="O502" s="91">
        <v>44.08</v>
      </c>
      <c r="P502" s="91" t="s">
        <v>60</v>
      </c>
      <c r="Q502" s="117">
        <v>264</v>
      </c>
      <c r="R502" s="117">
        <v>0</v>
      </c>
      <c r="S502" s="117">
        <v>132</v>
      </c>
      <c r="T502" s="117">
        <v>0</v>
      </c>
      <c r="U502" s="117">
        <v>0</v>
      </c>
      <c r="V502" s="117">
        <v>0</v>
      </c>
      <c r="W502" s="117">
        <v>0</v>
      </c>
      <c r="X502" s="117">
        <v>0</v>
      </c>
      <c r="Y502" s="117">
        <v>132.24</v>
      </c>
      <c r="Z502" s="117">
        <v>0</v>
      </c>
      <c r="AA502" s="117">
        <v>0</v>
      </c>
      <c r="AB502" s="117">
        <v>0</v>
      </c>
      <c r="AC502" s="117">
        <v>0</v>
      </c>
    </row>
    <row r="503" spans="1:29" s="4" customFormat="1" ht="30" customHeight="1" x14ac:dyDescent="0.3">
      <c r="A503" s="111" t="s">
        <v>640</v>
      </c>
      <c r="B503" s="111" t="s">
        <v>641</v>
      </c>
      <c r="C503" s="112" t="s">
        <v>69</v>
      </c>
      <c r="D503" s="67" t="s">
        <v>70</v>
      </c>
      <c r="E503" s="113" t="s">
        <v>69</v>
      </c>
      <c r="F503" s="67" t="s">
        <v>71</v>
      </c>
      <c r="G503" s="112">
        <v>21101</v>
      </c>
      <c r="H503" s="114" t="s">
        <v>500</v>
      </c>
      <c r="I503" s="115" t="s">
        <v>646</v>
      </c>
      <c r="J503" s="115" t="s">
        <v>647</v>
      </c>
      <c r="K503" s="116" t="s">
        <v>32</v>
      </c>
      <c r="L503" s="116" t="s">
        <v>32</v>
      </c>
      <c r="M503" s="116" t="s">
        <v>56</v>
      </c>
      <c r="N503" s="91">
        <v>1</v>
      </c>
      <c r="O503" s="91">
        <v>420</v>
      </c>
      <c r="P503" s="91" t="s">
        <v>60</v>
      </c>
      <c r="Q503" s="117">
        <v>420</v>
      </c>
      <c r="R503" s="117">
        <v>0</v>
      </c>
      <c r="S503" s="117">
        <v>420</v>
      </c>
      <c r="T503" s="117">
        <v>0</v>
      </c>
      <c r="U503" s="117">
        <v>0</v>
      </c>
      <c r="V503" s="117">
        <v>0</v>
      </c>
      <c r="W503" s="117">
        <v>0</v>
      </c>
      <c r="X503" s="117">
        <v>0</v>
      </c>
      <c r="Y503" s="117">
        <v>0</v>
      </c>
      <c r="Z503" s="117">
        <v>0</v>
      </c>
      <c r="AA503" s="117">
        <v>0</v>
      </c>
      <c r="AB503" s="117">
        <v>0</v>
      </c>
      <c r="AC503" s="117">
        <v>0</v>
      </c>
    </row>
    <row r="504" spans="1:29" s="4" customFormat="1" ht="30" customHeight="1" x14ac:dyDescent="0.3">
      <c r="A504" s="111" t="s">
        <v>640</v>
      </c>
      <c r="B504" s="111" t="s">
        <v>641</v>
      </c>
      <c r="C504" s="112" t="s">
        <v>69</v>
      </c>
      <c r="D504" s="67" t="s">
        <v>70</v>
      </c>
      <c r="E504" s="113" t="s">
        <v>69</v>
      </c>
      <c r="F504" s="67" t="s">
        <v>71</v>
      </c>
      <c r="G504" s="112">
        <v>21101</v>
      </c>
      <c r="H504" s="114" t="s">
        <v>500</v>
      </c>
      <c r="I504" s="115" t="s">
        <v>648</v>
      </c>
      <c r="J504" s="115" t="s">
        <v>649</v>
      </c>
      <c r="K504" s="116" t="s">
        <v>32</v>
      </c>
      <c r="L504" s="116" t="s">
        <v>32</v>
      </c>
      <c r="M504" s="116" t="s">
        <v>56</v>
      </c>
      <c r="N504" s="91">
        <v>1</v>
      </c>
      <c r="O504" s="91">
        <v>420</v>
      </c>
      <c r="P504" s="91" t="s">
        <v>60</v>
      </c>
      <c r="Q504" s="117">
        <v>420</v>
      </c>
      <c r="R504" s="117">
        <v>0</v>
      </c>
      <c r="S504" s="117">
        <v>420</v>
      </c>
      <c r="T504" s="117">
        <v>0</v>
      </c>
      <c r="U504" s="117">
        <v>0</v>
      </c>
      <c r="V504" s="117">
        <v>0</v>
      </c>
      <c r="W504" s="117">
        <v>0</v>
      </c>
      <c r="X504" s="117">
        <v>0</v>
      </c>
      <c r="Y504" s="117">
        <v>0</v>
      </c>
      <c r="Z504" s="117">
        <v>0</v>
      </c>
      <c r="AA504" s="117">
        <v>0</v>
      </c>
      <c r="AB504" s="117">
        <v>0</v>
      </c>
      <c r="AC504" s="117">
        <v>0</v>
      </c>
    </row>
    <row r="505" spans="1:29" s="4" customFormat="1" ht="30" customHeight="1" x14ac:dyDescent="0.3">
      <c r="A505" s="111" t="s">
        <v>640</v>
      </c>
      <c r="B505" s="111" t="s">
        <v>641</v>
      </c>
      <c r="C505" s="112" t="s">
        <v>69</v>
      </c>
      <c r="D505" s="67" t="s">
        <v>70</v>
      </c>
      <c r="E505" s="113" t="s">
        <v>69</v>
      </c>
      <c r="F505" s="67" t="s">
        <v>71</v>
      </c>
      <c r="G505" s="112">
        <v>21101</v>
      </c>
      <c r="H505" s="114" t="s">
        <v>500</v>
      </c>
      <c r="I505" s="118" t="s">
        <v>650</v>
      </c>
      <c r="J505" s="119" t="s">
        <v>651</v>
      </c>
      <c r="K505" s="116" t="s">
        <v>32</v>
      </c>
      <c r="L505" s="116" t="s">
        <v>32</v>
      </c>
      <c r="M505" s="120" t="s">
        <v>54</v>
      </c>
      <c r="N505" s="91">
        <v>3</v>
      </c>
      <c r="O505" s="91">
        <v>34.544800000000002</v>
      </c>
      <c r="P505" s="91" t="s">
        <v>60</v>
      </c>
      <c r="Q505" s="117">
        <v>104</v>
      </c>
      <c r="R505" s="117">
        <v>0</v>
      </c>
      <c r="S505" s="117">
        <v>0</v>
      </c>
      <c r="T505" s="117">
        <v>0</v>
      </c>
      <c r="U505" s="117">
        <v>0</v>
      </c>
      <c r="V505" s="117">
        <v>0</v>
      </c>
      <c r="W505" s="117">
        <v>0</v>
      </c>
      <c r="X505" s="117">
        <v>0</v>
      </c>
      <c r="Y505" s="117">
        <v>103.6344</v>
      </c>
      <c r="Z505" s="117">
        <v>0</v>
      </c>
      <c r="AA505" s="117">
        <v>0</v>
      </c>
      <c r="AB505" s="117">
        <v>0</v>
      </c>
      <c r="AC505" s="117">
        <v>0</v>
      </c>
    </row>
    <row r="506" spans="1:29" s="4" customFormat="1" ht="30" customHeight="1" x14ac:dyDescent="0.3">
      <c r="A506" s="111" t="s">
        <v>640</v>
      </c>
      <c r="B506" s="111" t="s">
        <v>641</v>
      </c>
      <c r="C506" s="112" t="s">
        <v>69</v>
      </c>
      <c r="D506" s="67" t="s">
        <v>70</v>
      </c>
      <c r="E506" s="113" t="s">
        <v>69</v>
      </c>
      <c r="F506" s="67" t="s">
        <v>71</v>
      </c>
      <c r="G506" s="112">
        <v>21101</v>
      </c>
      <c r="H506" s="114" t="s">
        <v>500</v>
      </c>
      <c r="I506" s="118" t="s">
        <v>652</v>
      </c>
      <c r="J506" s="119" t="s">
        <v>653</v>
      </c>
      <c r="K506" s="116" t="s">
        <v>32</v>
      </c>
      <c r="L506" s="116" t="s">
        <v>32</v>
      </c>
      <c r="M506" s="120" t="s">
        <v>54</v>
      </c>
      <c r="N506" s="91">
        <v>4</v>
      </c>
      <c r="O506" s="91">
        <v>23.745199999999997</v>
      </c>
      <c r="P506" s="91" t="s">
        <v>60</v>
      </c>
      <c r="Q506" s="117">
        <v>95</v>
      </c>
      <c r="R506" s="117">
        <v>0</v>
      </c>
      <c r="S506" s="117">
        <v>47</v>
      </c>
      <c r="T506" s="117">
        <v>0</v>
      </c>
      <c r="U506" s="117">
        <v>0</v>
      </c>
      <c r="V506" s="117">
        <v>0</v>
      </c>
      <c r="W506" s="117">
        <v>0</v>
      </c>
      <c r="X506" s="117">
        <v>0</v>
      </c>
      <c r="Y506" s="117">
        <v>48</v>
      </c>
      <c r="Z506" s="117">
        <v>0</v>
      </c>
      <c r="AA506" s="117">
        <v>0</v>
      </c>
      <c r="AB506" s="117">
        <v>0</v>
      </c>
      <c r="AC506" s="117">
        <v>0</v>
      </c>
    </row>
    <row r="507" spans="1:29" s="4" customFormat="1" ht="30" customHeight="1" x14ac:dyDescent="0.3">
      <c r="A507" s="111" t="s">
        <v>640</v>
      </c>
      <c r="B507" s="111" t="s">
        <v>641</v>
      </c>
      <c r="C507" s="112" t="s">
        <v>69</v>
      </c>
      <c r="D507" s="67" t="s">
        <v>70</v>
      </c>
      <c r="E507" s="113" t="s">
        <v>69</v>
      </c>
      <c r="F507" s="67" t="s">
        <v>71</v>
      </c>
      <c r="G507" s="112">
        <v>21101</v>
      </c>
      <c r="H507" s="114" t="s">
        <v>500</v>
      </c>
      <c r="I507" s="118" t="s">
        <v>654</v>
      </c>
      <c r="J507" s="119" t="s">
        <v>655</v>
      </c>
      <c r="K507" s="116" t="s">
        <v>32</v>
      </c>
      <c r="L507" s="116" t="s">
        <v>32</v>
      </c>
      <c r="M507" s="120" t="s">
        <v>54</v>
      </c>
      <c r="N507" s="91">
        <v>1</v>
      </c>
      <c r="O507" s="91">
        <v>90.700399999999988</v>
      </c>
      <c r="P507" s="91" t="s">
        <v>60</v>
      </c>
      <c r="Q507" s="117">
        <v>91</v>
      </c>
      <c r="R507" s="117">
        <v>0</v>
      </c>
      <c r="S507" s="117">
        <v>91</v>
      </c>
      <c r="T507" s="117">
        <v>0</v>
      </c>
      <c r="U507" s="117">
        <v>0</v>
      </c>
      <c r="V507" s="117">
        <v>0</v>
      </c>
      <c r="W507" s="117">
        <v>0</v>
      </c>
      <c r="X507" s="117">
        <v>0</v>
      </c>
      <c r="Y507" s="117">
        <v>0</v>
      </c>
      <c r="Z507" s="117">
        <v>0</v>
      </c>
      <c r="AA507" s="117">
        <v>0</v>
      </c>
      <c r="AB507" s="117">
        <v>0</v>
      </c>
      <c r="AC507" s="117">
        <v>0</v>
      </c>
    </row>
    <row r="508" spans="1:29" s="4" customFormat="1" ht="30" customHeight="1" x14ac:dyDescent="0.3">
      <c r="A508" s="111" t="s">
        <v>640</v>
      </c>
      <c r="B508" s="111" t="s">
        <v>641</v>
      </c>
      <c r="C508" s="112" t="s">
        <v>69</v>
      </c>
      <c r="D508" s="67" t="s">
        <v>70</v>
      </c>
      <c r="E508" s="113" t="s">
        <v>69</v>
      </c>
      <c r="F508" s="67" t="s">
        <v>71</v>
      </c>
      <c r="G508" s="112">
        <v>21101</v>
      </c>
      <c r="H508" s="114" t="s">
        <v>500</v>
      </c>
      <c r="I508" s="118" t="s">
        <v>656</v>
      </c>
      <c r="J508" s="119" t="s">
        <v>657</v>
      </c>
      <c r="K508" s="116" t="s">
        <v>32</v>
      </c>
      <c r="L508" s="116" t="s">
        <v>32</v>
      </c>
      <c r="M508" s="120" t="s">
        <v>54</v>
      </c>
      <c r="N508" s="91">
        <v>10</v>
      </c>
      <c r="O508" s="91">
        <v>3.4567999999999999</v>
      </c>
      <c r="P508" s="91" t="s">
        <v>60</v>
      </c>
      <c r="Q508" s="117">
        <v>35</v>
      </c>
      <c r="R508" s="117">
        <v>0</v>
      </c>
      <c r="S508" s="117">
        <v>0</v>
      </c>
      <c r="T508" s="117">
        <v>0</v>
      </c>
      <c r="U508" s="117">
        <v>0</v>
      </c>
      <c r="V508" s="117">
        <v>0</v>
      </c>
      <c r="W508" s="117">
        <v>0</v>
      </c>
      <c r="X508" s="117">
        <v>0</v>
      </c>
      <c r="Y508" s="117">
        <v>16</v>
      </c>
      <c r="Z508" s="117">
        <v>0</v>
      </c>
      <c r="AA508" s="117">
        <v>0</v>
      </c>
      <c r="AB508" s="117">
        <v>19</v>
      </c>
      <c r="AC508" s="117">
        <v>0</v>
      </c>
    </row>
    <row r="509" spans="1:29" s="4" customFormat="1" ht="30" customHeight="1" x14ac:dyDescent="0.3">
      <c r="A509" s="111" t="s">
        <v>640</v>
      </c>
      <c r="B509" s="111" t="s">
        <v>641</v>
      </c>
      <c r="C509" s="112" t="s">
        <v>69</v>
      </c>
      <c r="D509" s="67" t="s">
        <v>70</v>
      </c>
      <c r="E509" s="113" t="s">
        <v>69</v>
      </c>
      <c r="F509" s="67" t="s">
        <v>71</v>
      </c>
      <c r="G509" s="112">
        <v>21101</v>
      </c>
      <c r="H509" s="114" t="s">
        <v>500</v>
      </c>
      <c r="I509" s="118" t="s">
        <v>658</v>
      </c>
      <c r="J509" s="119" t="s">
        <v>659</v>
      </c>
      <c r="K509" s="116" t="s">
        <v>32</v>
      </c>
      <c r="L509" s="116" t="s">
        <v>32</v>
      </c>
      <c r="M509" s="120" t="s">
        <v>54</v>
      </c>
      <c r="N509" s="91">
        <v>15</v>
      </c>
      <c r="O509" s="91">
        <v>8.0968</v>
      </c>
      <c r="P509" s="91" t="s">
        <v>60</v>
      </c>
      <c r="Q509" s="117">
        <v>121</v>
      </c>
      <c r="R509" s="117">
        <v>0</v>
      </c>
      <c r="S509" s="117">
        <v>0</v>
      </c>
      <c r="T509" s="117">
        <v>0</v>
      </c>
      <c r="U509" s="117">
        <v>0</v>
      </c>
      <c r="V509" s="117">
        <v>121</v>
      </c>
      <c r="W509" s="117">
        <v>0</v>
      </c>
      <c r="X509" s="117">
        <v>0</v>
      </c>
      <c r="Y509" s="117">
        <v>0</v>
      </c>
      <c r="Z509" s="117">
        <v>0</v>
      </c>
      <c r="AA509" s="117">
        <v>0</v>
      </c>
      <c r="AB509" s="117">
        <v>0</v>
      </c>
      <c r="AC509" s="117">
        <v>0</v>
      </c>
    </row>
    <row r="510" spans="1:29" s="4" customFormat="1" ht="38.4" customHeight="1" x14ac:dyDescent="0.3">
      <c r="A510" s="111" t="s">
        <v>640</v>
      </c>
      <c r="B510" s="111" t="s">
        <v>641</v>
      </c>
      <c r="C510" s="112" t="s">
        <v>69</v>
      </c>
      <c r="D510" s="67" t="s">
        <v>70</v>
      </c>
      <c r="E510" s="113" t="s">
        <v>69</v>
      </c>
      <c r="F510" s="67" t="s">
        <v>71</v>
      </c>
      <c r="G510" s="112">
        <v>21401</v>
      </c>
      <c r="H510" s="114" t="s">
        <v>660</v>
      </c>
      <c r="I510" s="115" t="s">
        <v>341</v>
      </c>
      <c r="J510" s="115" t="s">
        <v>537</v>
      </c>
      <c r="K510" s="116" t="s">
        <v>32</v>
      </c>
      <c r="L510" s="116" t="s">
        <v>32</v>
      </c>
      <c r="M510" s="116" t="s">
        <v>54</v>
      </c>
      <c r="N510" s="91">
        <v>4</v>
      </c>
      <c r="O510" s="91">
        <v>108</v>
      </c>
      <c r="P510" s="117" t="s">
        <v>60</v>
      </c>
      <c r="Q510" s="117">
        <v>432</v>
      </c>
      <c r="R510" s="117">
        <v>0</v>
      </c>
      <c r="S510" s="117">
        <v>216</v>
      </c>
      <c r="T510" s="117">
        <v>0</v>
      </c>
      <c r="U510" s="117">
        <v>0</v>
      </c>
      <c r="V510" s="117">
        <v>0</v>
      </c>
      <c r="W510" s="117">
        <v>0</v>
      </c>
      <c r="X510" s="117">
        <v>0</v>
      </c>
      <c r="Y510" s="117">
        <v>216</v>
      </c>
      <c r="Z510" s="117">
        <v>0</v>
      </c>
      <c r="AA510" s="117">
        <v>0</v>
      </c>
      <c r="AB510" s="117">
        <v>0</v>
      </c>
      <c r="AC510" s="117">
        <v>0</v>
      </c>
    </row>
    <row r="511" spans="1:29" s="4" customFormat="1" ht="30" customHeight="1" x14ac:dyDescent="0.3">
      <c r="A511" s="111" t="s">
        <v>640</v>
      </c>
      <c r="B511" s="111" t="s">
        <v>641</v>
      </c>
      <c r="C511" s="112" t="s">
        <v>69</v>
      </c>
      <c r="D511" s="67" t="s">
        <v>70</v>
      </c>
      <c r="E511" s="113" t="s">
        <v>69</v>
      </c>
      <c r="F511" s="67" t="s">
        <v>71</v>
      </c>
      <c r="G511" s="88">
        <v>21601</v>
      </c>
      <c r="H511" s="118" t="s">
        <v>661</v>
      </c>
      <c r="I511" s="100" t="s">
        <v>662</v>
      </c>
      <c r="J511" s="100" t="s">
        <v>663</v>
      </c>
      <c r="K511" s="91" t="s">
        <v>32</v>
      </c>
      <c r="L511" s="72" t="s">
        <v>32</v>
      </c>
      <c r="M511" s="67" t="s">
        <v>54</v>
      </c>
      <c r="N511" s="91">
        <v>4</v>
      </c>
      <c r="O511" s="91">
        <v>80</v>
      </c>
      <c r="P511" s="117" t="s">
        <v>60</v>
      </c>
      <c r="Q511" s="117">
        <v>320</v>
      </c>
      <c r="R511" s="117">
        <v>0</v>
      </c>
      <c r="S511" s="117">
        <v>160</v>
      </c>
      <c r="T511" s="117">
        <v>0</v>
      </c>
      <c r="U511" s="117">
        <v>0</v>
      </c>
      <c r="V511" s="117">
        <v>0</v>
      </c>
      <c r="W511" s="117">
        <v>0</v>
      </c>
      <c r="X511" s="117">
        <v>0</v>
      </c>
      <c r="Y511" s="117">
        <v>160</v>
      </c>
      <c r="Z511" s="117">
        <v>0</v>
      </c>
      <c r="AA511" s="117">
        <v>0</v>
      </c>
      <c r="AB511" s="117">
        <v>0</v>
      </c>
      <c r="AC511" s="117">
        <v>0</v>
      </c>
    </row>
    <row r="512" spans="1:29" s="4" customFormat="1" ht="30" customHeight="1" x14ac:dyDescent="0.3">
      <c r="A512" s="111" t="s">
        <v>640</v>
      </c>
      <c r="B512" s="111" t="s">
        <v>641</v>
      </c>
      <c r="C512" s="112" t="s">
        <v>69</v>
      </c>
      <c r="D512" s="67" t="s">
        <v>70</v>
      </c>
      <c r="E512" s="113" t="s">
        <v>69</v>
      </c>
      <c r="F512" s="67" t="s">
        <v>71</v>
      </c>
      <c r="G512" s="88">
        <v>21601</v>
      </c>
      <c r="H512" s="118" t="s">
        <v>661</v>
      </c>
      <c r="I512" s="100" t="s">
        <v>664</v>
      </c>
      <c r="J512" s="100" t="s">
        <v>665</v>
      </c>
      <c r="K512" s="91" t="s">
        <v>32</v>
      </c>
      <c r="L512" s="72" t="s">
        <v>32</v>
      </c>
      <c r="M512" s="67" t="s">
        <v>54</v>
      </c>
      <c r="N512" s="91">
        <v>5</v>
      </c>
      <c r="O512" s="91">
        <v>25</v>
      </c>
      <c r="P512" s="117" t="s">
        <v>60</v>
      </c>
      <c r="Q512" s="117">
        <v>125</v>
      </c>
      <c r="R512" s="117">
        <v>0</v>
      </c>
      <c r="S512" s="117">
        <v>0</v>
      </c>
      <c r="T512" s="117">
        <v>0</v>
      </c>
      <c r="U512" s="117">
        <v>0</v>
      </c>
      <c r="V512" s="117">
        <v>75</v>
      </c>
      <c r="W512" s="117">
        <v>0</v>
      </c>
      <c r="X512" s="117">
        <v>0</v>
      </c>
      <c r="Y512" s="117">
        <v>0</v>
      </c>
      <c r="Z512" s="117">
        <v>0</v>
      </c>
      <c r="AA512" s="117">
        <v>0</v>
      </c>
      <c r="AB512" s="117">
        <v>50</v>
      </c>
      <c r="AC512" s="117">
        <v>0</v>
      </c>
    </row>
    <row r="513" spans="1:29" s="4" customFormat="1" ht="30" customHeight="1" x14ac:dyDescent="0.3">
      <c r="A513" s="111" t="s">
        <v>640</v>
      </c>
      <c r="B513" s="111" t="s">
        <v>641</v>
      </c>
      <c r="C513" s="112" t="s">
        <v>69</v>
      </c>
      <c r="D513" s="67" t="s">
        <v>70</v>
      </c>
      <c r="E513" s="113" t="s">
        <v>69</v>
      </c>
      <c r="F513" s="67" t="s">
        <v>71</v>
      </c>
      <c r="G513" s="88">
        <v>21601</v>
      </c>
      <c r="H513" s="118" t="s">
        <v>661</v>
      </c>
      <c r="I513" s="100" t="s">
        <v>666</v>
      </c>
      <c r="J513" s="100" t="s">
        <v>667</v>
      </c>
      <c r="K513" s="91" t="s">
        <v>32</v>
      </c>
      <c r="L513" s="72" t="s">
        <v>32</v>
      </c>
      <c r="M513" s="67" t="s">
        <v>54</v>
      </c>
      <c r="N513" s="91">
        <v>5</v>
      </c>
      <c r="O513" s="91">
        <v>55</v>
      </c>
      <c r="P513" s="117" t="s">
        <v>60</v>
      </c>
      <c r="Q513" s="117">
        <v>275</v>
      </c>
      <c r="R513" s="117">
        <v>0</v>
      </c>
      <c r="S513" s="117">
        <v>165</v>
      </c>
      <c r="T513" s="117">
        <v>0</v>
      </c>
      <c r="U513" s="117">
        <v>0</v>
      </c>
      <c r="V513" s="117">
        <v>0</v>
      </c>
      <c r="W513" s="117">
        <v>0</v>
      </c>
      <c r="X513" s="117">
        <v>0</v>
      </c>
      <c r="Y513" s="117">
        <v>110</v>
      </c>
      <c r="Z513" s="117">
        <v>0</v>
      </c>
      <c r="AA513" s="117">
        <v>0</v>
      </c>
      <c r="AB513" s="117">
        <v>0</v>
      </c>
      <c r="AC513" s="117">
        <v>0</v>
      </c>
    </row>
    <row r="514" spans="1:29" s="4" customFormat="1" ht="30" customHeight="1" x14ac:dyDescent="0.3">
      <c r="A514" s="111" t="s">
        <v>640</v>
      </c>
      <c r="B514" s="111" t="s">
        <v>641</v>
      </c>
      <c r="C514" s="112" t="s">
        <v>69</v>
      </c>
      <c r="D514" s="67" t="s">
        <v>70</v>
      </c>
      <c r="E514" s="113" t="s">
        <v>69</v>
      </c>
      <c r="F514" s="67" t="s">
        <v>71</v>
      </c>
      <c r="G514" s="88">
        <v>21601</v>
      </c>
      <c r="H514" s="118" t="s">
        <v>661</v>
      </c>
      <c r="I514" s="100" t="s">
        <v>668</v>
      </c>
      <c r="J514" s="100" t="s">
        <v>669</v>
      </c>
      <c r="K514" s="91" t="s">
        <v>32</v>
      </c>
      <c r="L514" s="72" t="s">
        <v>32</v>
      </c>
      <c r="M514" s="67" t="s">
        <v>54</v>
      </c>
      <c r="N514" s="91">
        <v>4</v>
      </c>
      <c r="O514" s="91">
        <v>32</v>
      </c>
      <c r="P514" s="117" t="s">
        <v>60</v>
      </c>
      <c r="Q514" s="117">
        <v>128</v>
      </c>
      <c r="R514" s="117">
        <v>0</v>
      </c>
      <c r="S514" s="117">
        <v>96</v>
      </c>
      <c r="T514" s="117">
        <v>0</v>
      </c>
      <c r="U514" s="117">
        <v>0</v>
      </c>
      <c r="V514" s="117">
        <v>32</v>
      </c>
      <c r="W514" s="117">
        <v>0</v>
      </c>
      <c r="X514" s="117">
        <v>0</v>
      </c>
      <c r="Y514" s="117">
        <v>0</v>
      </c>
      <c r="Z514" s="117">
        <v>0</v>
      </c>
      <c r="AA514" s="117">
        <v>0</v>
      </c>
      <c r="AB514" s="117">
        <v>0</v>
      </c>
      <c r="AC514" s="117">
        <v>0</v>
      </c>
    </row>
    <row r="515" spans="1:29" s="4" customFormat="1" ht="30" customHeight="1" x14ac:dyDescent="0.3">
      <c r="A515" s="111" t="s">
        <v>640</v>
      </c>
      <c r="B515" s="111" t="s">
        <v>641</v>
      </c>
      <c r="C515" s="112" t="s">
        <v>69</v>
      </c>
      <c r="D515" s="67" t="s">
        <v>70</v>
      </c>
      <c r="E515" s="113" t="s">
        <v>69</v>
      </c>
      <c r="F515" s="67" t="s">
        <v>71</v>
      </c>
      <c r="G515" s="88">
        <v>21601</v>
      </c>
      <c r="H515" s="118" t="s">
        <v>661</v>
      </c>
      <c r="I515" s="100" t="s">
        <v>670</v>
      </c>
      <c r="J515" s="100" t="s">
        <v>671</v>
      </c>
      <c r="K515" s="91" t="s">
        <v>32</v>
      </c>
      <c r="L515" s="72" t="s">
        <v>32</v>
      </c>
      <c r="M515" s="67" t="s">
        <v>54</v>
      </c>
      <c r="N515" s="91">
        <v>120</v>
      </c>
      <c r="O515" s="91">
        <v>2.5</v>
      </c>
      <c r="P515" s="117" t="s">
        <v>60</v>
      </c>
      <c r="Q515" s="117">
        <v>300</v>
      </c>
      <c r="R515" s="117">
        <v>0</v>
      </c>
      <c r="S515" s="117">
        <v>75</v>
      </c>
      <c r="T515" s="117">
        <v>0</v>
      </c>
      <c r="U515" s="117">
        <v>0</v>
      </c>
      <c r="V515" s="117">
        <v>75</v>
      </c>
      <c r="W515" s="117">
        <v>0</v>
      </c>
      <c r="X515" s="117">
        <v>0</v>
      </c>
      <c r="Y515" s="117">
        <v>75</v>
      </c>
      <c r="Z515" s="117">
        <v>0</v>
      </c>
      <c r="AA515" s="117">
        <v>0</v>
      </c>
      <c r="AB515" s="117">
        <v>75</v>
      </c>
      <c r="AC515" s="117">
        <v>0</v>
      </c>
    </row>
    <row r="516" spans="1:29" s="4" customFormat="1" ht="30" customHeight="1" x14ac:dyDescent="0.3">
      <c r="A516" s="111" t="s">
        <v>640</v>
      </c>
      <c r="B516" s="111" t="s">
        <v>641</v>
      </c>
      <c r="C516" s="112" t="s">
        <v>69</v>
      </c>
      <c r="D516" s="67" t="s">
        <v>70</v>
      </c>
      <c r="E516" s="113" t="s">
        <v>69</v>
      </c>
      <c r="F516" s="67" t="s">
        <v>71</v>
      </c>
      <c r="G516" s="88">
        <v>21601</v>
      </c>
      <c r="H516" s="118" t="s">
        <v>661</v>
      </c>
      <c r="I516" s="100" t="s">
        <v>672</v>
      </c>
      <c r="J516" s="100" t="s">
        <v>673</v>
      </c>
      <c r="K516" s="91" t="s">
        <v>32</v>
      </c>
      <c r="L516" s="72" t="s">
        <v>32</v>
      </c>
      <c r="M516" s="67" t="s">
        <v>54</v>
      </c>
      <c r="N516" s="91">
        <v>18</v>
      </c>
      <c r="O516" s="91">
        <v>55</v>
      </c>
      <c r="P516" s="117" t="s">
        <v>60</v>
      </c>
      <c r="Q516" s="117">
        <v>990</v>
      </c>
      <c r="R516" s="117">
        <v>0</v>
      </c>
      <c r="S516" s="117">
        <v>275</v>
      </c>
      <c r="T516" s="117">
        <v>0</v>
      </c>
      <c r="U516" s="117">
        <v>0</v>
      </c>
      <c r="V516" s="117">
        <v>220</v>
      </c>
      <c r="W516" s="117">
        <v>0</v>
      </c>
      <c r="X516" s="117">
        <v>0</v>
      </c>
      <c r="Y516" s="117">
        <v>275</v>
      </c>
      <c r="Z516" s="117">
        <v>0</v>
      </c>
      <c r="AA516" s="117">
        <v>0</v>
      </c>
      <c r="AB516" s="117">
        <v>220</v>
      </c>
      <c r="AC516" s="117">
        <v>0</v>
      </c>
    </row>
    <row r="517" spans="1:29" s="4" customFormat="1" ht="30" customHeight="1" x14ac:dyDescent="0.3">
      <c r="A517" s="111" t="s">
        <v>640</v>
      </c>
      <c r="B517" s="111" t="s">
        <v>641</v>
      </c>
      <c r="C517" s="112" t="s">
        <v>69</v>
      </c>
      <c r="D517" s="67" t="s">
        <v>70</v>
      </c>
      <c r="E517" s="113" t="s">
        <v>69</v>
      </c>
      <c r="F517" s="67" t="s">
        <v>71</v>
      </c>
      <c r="G517" s="88">
        <v>21601</v>
      </c>
      <c r="H517" s="118" t="s">
        <v>661</v>
      </c>
      <c r="I517" s="121" t="s">
        <v>674</v>
      </c>
      <c r="J517" s="118" t="s">
        <v>675</v>
      </c>
      <c r="K517" s="91"/>
      <c r="L517" s="72" t="s">
        <v>32</v>
      </c>
      <c r="M517" s="67" t="s">
        <v>54</v>
      </c>
      <c r="N517" s="91">
        <v>4</v>
      </c>
      <c r="O517" s="91">
        <v>27</v>
      </c>
      <c r="P517" s="117" t="s">
        <v>60</v>
      </c>
      <c r="Q517" s="117">
        <v>108</v>
      </c>
      <c r="R517" s="117">
        <v>0</v>
      </c>
      <c r="S517" s="117">
        <v>27</v>
      </c>
      <c r="T517" s="117">
        <v>0</v>
      </c>
      <c r="U517" s="117">
        <v>0</v>
      </c>
      <c r="V517" s="117">
        <v>27</v>
      </c>
      <c r="W517" s="117">
        <v>0</v>
      </c>
      <c r="X517" s="117">
        <v>0</v>
      </c>
      <c r="Y517" s="117">
        <v>27</v>
      </c>
      <c r="Z517" s="117">
        <v>0</v>
      </c>
      <c r="AA517" s="117">
        <v>0</v>
      </c>
      <c r="AB517" s="117">
        <v>27</v>
      </c>
      <c r="AC517" s="117">
        <v>0</v>
      </c>
    </row>
    <row r="518" spans="1:29" s="4" customFormat="1" ht="30" customHeight="1" x14ac:dyDescent="0.3">
      <c r="A518" s="111" t="s">
        <v>640</v>
      </c>
      <c r="B518" s="111" t="s">
        <v>641</v>
      </c>
      <c r="C518" s="112" t="s">
        <v>69</v>
      </c>
      <c r="D518" s="67" t="s">
        <v>70</v>
      </c>
      <c r="E518" s="113" t="s">
        <v>69</v>
      </c>
      <c r="F518" s="67" t="s">
        <v>71</v>
      </c>
      <c r="G518" s="88">
        <v>21601</v>
      </c>
      <c r="H518" s="118" t="s">
        <v>661</v>
      </c>
      <c r="I518" s="100" t="s">
        <v>676</v>
      </c>
      <c r="J518" s="100" t="s">
        <v>677</v>
      </c>
      <c r="K518" s="91" t="s">
        <v>32</v>
      </c>
      <c r="L518" s="72" t="s">
        <v>32</v>
      </c>
      <c r="M518" s="67" t="s">
        <v>620</v>
      </c>
      <c r="N518" s="91">
        <v>48</v>
      </c>
      <c r="O518" s="91">
        <v>19</v>
      </c>
      <c r="P518" s="117" t="s">
        <v>60</v>
      </c>
      <c r="Q518" s="117">
        <v>912</v>
      </c>
      <c r="R518" s="117">
        <v>0</v>
      </c>
      <c r="S518" s="117">
        <v>228</v>
      </c>
      <c r="T518" s="117">
        <v>0</v>
      </c>
      <c r="U518" s="117">
        <v>0</v>
      </c>
      <c r="V518" s="117">
        <v>228</v>
      </c>
      <c r="W518" s="117">
        <v>0</v>
      </c>
      <c r="X518" s="117">
        <v>0</v>
      </c>
      <c r="Y518" s="117">
        <v>228</v>
      </c>
      <c r="Z518" s="117">
        <v>0</v>
      </c>
      <c r="AA518" s="117">
        <v>0</v>
      </c>
      <c r="AB518" s="117">
        <v>228</v>
      </c>
      <c r="AC518" s="117">
        <v>0</v>
      </c>
    </row>
    <row r="519" spans="1:29" s="4" customFormat="1" ht="30" customHeight="1" x14ac:dyDescent="0.3">
      <c r="A519" s="111" t="s">
        <v>640</v>
      </c>
      <c r="B519" s="111" t="s">
        <v>641</v>
      </c>
      <c r="C519" s="112" t="s">
        <v>69</v>
      </c>
      <c r="D519" s="67" t="s">
        <v>70</v>
      </c>
      <c r="E519" s="113" t="s">
        <v>69</v>
      </c>
      <c r="F519" s="67" t="s">
        <v>71</v>
      </c>
      <c r="G519" s="88">
        <v>21601</v>
      </c>
      <c r="H519" s="118" t="s">
        <v>661</v>
      </c>
      <c r="I519" s="100" t="s">
        <v>678</v>
      </c>
      <c r="J519" s="100" t="s">
        <v>679</v>
      </c>
      <c r="K519" s="91" t="s">
        <v>32</v>
      </c>
      <c r="L519" s="72" t="s">
        <v>32</v>
      </c>
      <c r="M519" s="67" t="s">
        <v>54</v>
      </c>
      <c r="N519" s="91">
        <v>8</v>
      </c>
      <c r="O519" s="91">
        <v>45</v>
      </c>
      <c r="P519" s="117" t="s">
        <v>60</v>
      </c>
      <c r="Q519" s="117">
        <v>360</v>
      </c>
      <c r="R519" s="117">
        <v>0</v>
      </c>
      <c r="S519" s="117">
        <v>90</v>
      </c>
      <c r="T519" s="117">
        <v>0</v>
      </c>
      <c r="U519" s="117">
        <v>0</v>
      </c>
      <c r="V519" s="117">
        <v>90</v>
      </c>
      <c r="W519" s="117">
        <v>0</v>
      </c>
      <c r="X519" s="117">
        <v>0</v>
      </c>
      <c r="Y519" s="117">
        <v>90</v>
      </c>
      <c r="Z519" s="117">
        <v>0</v>
      </c>
      <c r="AA519" s="117">
        <v>0</v>
      </c>
      <c r="AB519" s="117">
        <v>90</v>
      </c>
      <c r="AC519" s="117">
        <v>0</v>
      </c>
    </row>
    <row r="520" spans="1:29" s="4" customFormat="1" ht="30" customHeight="1" x14ac:dyDescent="0.3">
      <c r="A520" s="111" t="s">
        <v>640</v>
      </c>
      <c r="B520" s="111" t="s">
        <v>641</v>
      </c>
      <c r="C520" s="112" t="s">
        <v>69</v>
      </c>
      <c r="D520" s="67" t="s">
        <v>70</v>
      </c>
      <c r="E520" s="113" t="s">
        <v>69</v>
      </c>
      <c r="F520" s="67" t="s">
        <v>71</v>
      </c>
      <c r="G520" s="88">
        <v>21601</v>
      </c>
      <c r="H520" s="118" t="s">
        <v>661</v>
      </c>
      <c r="I520" s="100" t="s">
        <v>680</v>
      </c>
      <c r="J520" s="100" t="s">
        <v>681</v>
      </c>
      <c r="K520" s="91" t="s">
        <v>32</v>
      </c>
      <c r="L520" s="72" t="s">
        <v>32</v>
      </c>
      <c r="M520" s="67" t="s">
        <v>54</v>
      </c>
      <c r="N520" s="91">
        <v>8</v>
      </c>
      <c r="O520" s="91">
        <v>37</v>
      </c>
      <c r="P520" s="117" t="s">
        <v>60</v>
      </c>
      <c r="Q520" s="117">
        <v>296</v>
      </c>
      <c r="R520" s="117">
        <v>0</v>
      </c>
      <c r="S520" s="117">
        <v>148</v>
      </c>
      <c r="T520" s="117">
        <v>0</v>
      </c>
      <c r="U520" s="117">
        <v>0</v>
      </c>
      <c r="V520" s="117">
        <v>0</v>
      </c>
      <c r="W520" s="117">
        <v>0</v>
      </c>
      <c r="X520" s="117">
        <v>0</v>
      </c>
      <c r="Y520" s="117">
        <v>74</v>
      </c>
      <c r="Z520" s="117">
        <v>0</v>
      </c>
      <c r="AA520" s="117">
        <v>0</v>
      </c>
      <c r="AB520" s="117">
        <v>74</v>
      </c>
      <c r="AC520" s="117">
        <v>0</v>
      </c>
    </row>
    <row r="521" spans="1:29" s="4" customFormat="1" ht="30" customHeight="1" x14ac:dyDescent="0.3">
      <c r="A521" s="111" t="s">
        <v>640</v>
      </c>
      <c r="B521" s="111" t="s">
        <v>641</v>
      </c>
      <c r="C521" s="112" t="s">
        <v>69</v>
      </c>
      <c r="D521" s="67" t="s">
        <v>70</v>
      </c>
      <c r="E521" s="113" t="s">
        <v>69</v>
      </c>
      <c r="F521" s="67" t="s">
        <v>71</v>
      </c>
      <c r="G521" s="88">
        <v>21601</v>
      </c>
      <c r="H521" s="118" t="s">
        <v>661</v>
      </c>
      <c r="I521" s="100" t="s">
        <v>682</v>
      </c>
      <c r="J521" s="100" t="s">
        <v>683</v>
      </c>
      <c r="K521" s="91" t="s">
        <v>32</v>
      </c>
      <c r="L521" s="72" t="s">
        <v>32</v>
      </c>
      <c r="M521" s="67" t="s">
        <v>54</v>
      </c>
      <c r="N521" s="91">
        <v>36</v>
      </c>
      <c r="O521" s="91">
        <v>50</v>
      </c>
      <c r="P521" s="117" t="s">
        <v>60</v>
      </c>
      <c r="Q521" s="117">
        <v>1800</v>
      </c>
      <c r="R521" s="117">
        <v>0</v>
      </c>
      <c r="S521" s="117">
        <v>450</v>
      </c>
      <c r="T521" s="117">
        <v>0</v>
      </c>
      <c r="U521" s="117">
        <v>0</v>
      </c>
      <c r="V521" s="117">
        <v>450</v>
      </c>
      <c r="W521" s="117">
        <v>0</v>
      </c>
      <c r="X521" s="117">
        <v>0</v>
      </c>
      <c r="Y521" s="117">
        <v>450</v>
      </c>
      <c r="Z521" s="117">
        <v>0</v>
      </c>
      <c r="AA521" s="117">
        <v>0</v>
      </c>
      <c r="AB521" s="117">
        <v>450</v>
      </c>
      <c r="AC521" s="117">
        <v>0</v>
      </c>
    </row>
    <row r="522" spans="1:29" s="4" customFormat="1" ht="30" customHeight="1" x14ac:dyDescent="0.3">
      <c r="A522" s="111" t="s">
        <v>640</v>
      </c>
      <c r="B522" s="111" t="s">
        <v>641</v>
      </c>
      <c r="C522" s="112" t="s">
        <v>69</v>
      </c>
      <c r="D522" s="67" t="s">
        <v>70</v>
      </c>
      <c r="E522" s="113" t="s">
        <v>69</v>
      </c>
      <c r="F522" s="67" t="s">
        <v>71</v>
      </c>
      <c r="G522" s="88">
        <v>21601</v>
      </c>
      <c r="H522" s="118" t="s">
        <v>661</v>
      </c>
      <c r="I522" s="121" t="s">
        <v>538</v>
      </c>
      <c r="J522" s="121" t="s">
        <v>539</v>
      </c>
      <c r="K522" s="91"/>
      <c r="L522" s="72" t="s">
        <v>32</v>
      </c>
      <c r="M522" s="67" t="s">
        <v>61</v>
      </c>
      <c r="N522" s="91">
        <v>40</v>
      </c>
      <c r="O522" s="91">
        <v>348</v>
      </c>
      <c r="P522" s="117" t="s">
        <v>60</v>
      </c>
      <c r="Q522" s="117">
        <v>13920</v>
      </c>
      <c r="R522" s="117">
        <v>0</v>
      </c>
      <c r="S522" s="117">
        <v>3480</v>
      </c>
      <c r="T522" s="117">
        <v>0</v>
      </c>
      <c r="U522" s="117">
        <v>0</v>
      </c>
      <c r="V522" s="117">
        <v>3480</v>
      </c>
      <c r="W522" s="117">
        <v>0</v>
      </c>
      <c r="X522" s="117">
        <v>0</v>
      </c>
      <c r="Y522" s="117">
        <v>3480</v>
      </c>
      <c r="Z522" s="117">
        <v>0</v>
      </c>
      <c r="AA522" s="117">
        <v>0</v>
      </c>
      <c r="AB522" s="117">
        <v>3480</v>
      </c>
      <c r="AC522" s="117">
        <v>0</v>
      </c>
    </row>
    <row r="523" spans="1:29" s="4" customFormat="1" ht="30" customHeight="1" x14ac:dyDescent="0.3">
      <c r="A523" s="111" t="s">
        <v>640</v>
      </c>
      <c r="B523" s="111" t="s">
        <v>641</v>
      </c>
      <c r="C523" s="112" t="s">
        <v>69</v>
      </c>
      <c r="D523" s="67" t="s">
        <v>70</v>
      </c>
      <c r="E523" s="113" t="s">
        <v>69</v>
      </c>
      <c r="F523" s="67" t="s">
        <v>71</v>
      </c>
      <c r="G523" s="88">
        <v>21601</v>
      </c>
      <c r="H523" s="118" t="s">
        <v>661</v>
      </c>
      <c r="I523" s="100" t="s">
        <v>684</v>
      </c>
      <c r="J523" s="100" t="s">
        <v>685</v>
      </c>
      <c r="K523" s="91" t="s">
        <v>32</v>
      </c>
      <c r="L523" s="72" t="s">
        <v>32</v>
      </c>
      <c r="M523" s="67" t="s">
        <v>54</v>
      </c>
      <c r="N523" s="91">
        <v>4</v>
      </c>
      <c r="O523" s="91">
        <v>5</v>
      </c>
      <c r="P523" s="117" t="s">
        <v>60</v>
      </c>
      <c r="Q523" s="117">
        <v>20</v>
      </c>
      <c r="R523" s="117">
        <v>0</v>
      </c>
      <c r="S523" s="117">
        <v>10</v>
      </c>
      <c r="T523" s="117">
        <v>0</v>
      </c>
      <c r="U523" s="117">
        <v>0</v>
      </c>
      <c r="V523" s="117">
        <v>0</v>
      </c>
      <c r="W523" s="117">
        <v>0</v>
      </c>
      <c r="X523" s="117">
        <v>0</v>
      </c>
      <c r="Y523" s="117">
        <v>10</v>
      </c>
      <c r="Z523" s="117">
        <v>0</v>
      </c>
      <c r="AA523" s="117">
        <v>0</v>
      </c>
      <c r="AB523" s="117">
        <v>0</v>
      </c>
      <c r="AC523" s="117">
        <v>0</v>
      </c>
    </row>
    <row r="524" spans="1:29" s="4" customFormat="1" ht="30" customHeight="1" x14ac:dyDescent="0.3">
      <c r="A524" s="111" t="s">
        <v>640</v>
      </c>
      <c r="B524" s="111" t="s">
        <v>641</v>
      </c>
      <c r="C524" s="112" t="s">
        <v>69</v>
      </c>
      <c r="D524" s="67" t="s">
        <v>70</v>
      </c>
      <c r="E524" s="113" t="s">
        <v>69</v>
      </c>
      <c r="F524" s="67" t="s">
        <v>71</v>
      </c>
      <c r="G524" s="88">
        <v>21601</v>
      </c>
      <c r="H524" s="118" t="s">
        <v>661</v>
      </c>
      <c r="I524" s="100" t="s">
        <v>686</v>
      </c>
      <c r="J524" s="100" t="s">
        <v>687</v>
      </c>
      <c r="K524" s="91" t="s">
        <v>32</v>
      </c>
      <c r="L524" s="72" t="s">
        <v>32</v>
      </c>
      <c r="M524" s="67" t="s">
        <v>54</v>
      </c>
      <c r="N524" s="91">
        <v>3</v>
      </c>
      <c r="O524" s="91">
        <v>15</v>
      </c>
      <c r="P524" s="117" t="s">
        <v>60</v>
      </c>
      <c r="Q524" s="117">
        <v>45</v>
      </c>
      <c r="R524" s="117">
        <v>0</v>
      </c>
      <c r="S524" s="117">
        <v>30</v>
      </c>
      <c r="T524" s="117">
        <v>0</v>
      </c>
      <c r="U524" s="117">
        <v>0</v>
      </c>
      <c r="V524" s="117">
        <v>0</v>
      </c>
      <c r="W524" s="117">
        <v>0</v>
      </c>
      <c r="X524" s="117">
        <v>0</v>
      </c>
      <c r="Y524" s="117">
        <v>0</v>
      </c>
      <c r="Z524" s="117">
        <v>0</v>
      </c>
      <c r="AA524" s="117">
        <v>0</v>
      </c>
      <c r="AB524" s="117">
        <v>15</v>
      </c>
      <c r="AC524" s="117">
        <v>0</v>
      </c>
    </row>
    <row r="525" spans="1:29" s="4" customFormat="1" ht="40.200000000000003" customHeight="1" x14ac:dyDescent="0.3">
      <c r="A525" s="111" t="s">
        <v>640</v>
      </c>
      <c r="B525" s="111" t="s">
        <v>641</v>
      </c>
      <c r="C525" s="112" t="s">
        <v>69</v>
      </c>
      <c r="D525" s="67" t="s">
        <v>70</v>
      </c>
      <c r="E525" s="113" t="s">
        <v>69</v>
      </c>
      <c r="F525" s="67" t="s">
        <v>71</v>
      </c>
      <c r="G525" s="112">
        <v>22104</v>
      </c>
      <c r="H525" s="118" t="s">
        <v>688</v>
      </c>
      <c r="I525" s="100" t="s">
        <v>689</v>
      </c>
      <c r="J525" s="100" t="s">
        <v>690</v>
      </c>
      <c r="K525" s="91" t="s">
        <v>32</v>
      </c>
      <c r="L525" s="72" t="s">
        <v>32</v>
      </c>
      <c r="M525" s="67" t="s">
        <v>57</v>
      </c>
      <c r="N525" s="91">
        <v>2</v>
      </c>
      <c r="O525" s="91">
        <v>233.39199999999997</v>
      </c>
      <c r="P525" s="117" t="s">
        <v>60</v>
      </c>
      <c r="Q525" s="117">
        <v>466</v>
      </c>
      <c r="R525" s="117">
        <v>0</v>
      </c>
      <c r="S525" s="117">
        <v>0</v>
      </c>
      <c r="T525" s="117">
        <v>0</v>
      </c>
      <c r="U525" s="117">
        <v>0</v>
      </c>
      <c r="V525" s="117">
        <v>233</v>
      </c>
      <c r="W525" s="117">
        <v>0</v>
      </c>
      <c r="X525" s="117">
        <v>0</v>
      </c>
      <c r="Y525" s="117">
        <v>0</v>
      </c>
      <c r="Z525" s="117">
        <v>0</v>
      </c>
      <c r="AA525" s="117">
        <v>0</v>
      </c>
      <c r="AB525" s="117">
        <v>233</v>
      </c>
      <c r="AC525" s="117">
        <v>0</v>
      </c>
    </row>
    <row r="526" spans="1:29" s="4" customFormat="1" ht="39" customHeight="1" x14ac:dyDescent="0.3">
      <c r="A526" s="111" t="s">
        <v>640</v>
      </c>
      <c r="B526" s="111" t="s">
        <v>641</v>
      </c>
      <c r="C526" s="112" t="s">
        <v>69</v>
      </c>
      <c r="D526" s="67" t="s">
        <v>70</v>
      </c>
      <c r="E526" s="113" t="s">
        <v>69</v>
      </c>
      <c r="F526" s="67" t="s">
        <v>71</v>
      </c>
      <c r="G526" s="112">
        <v>22104</v>
      </c>
      <c r="H526" s="118" t="s">
        <v>688</v>
      </c>
      <c r="I526" s="100" t="s">
        <v>691</v>
      </c>
      <c r="J526" s="100" t="s">
        <v>692</v>
      </c>
      <c r="K526" s="91" t="s">
        <v>32</v>
      </c>
      <c r="L526" s="72" t="s">
        <v>32</v>
      </c>
      <c r="M526" s="67" t="s">
        <v>54</v>
      </c>
      <c r="N526" s="91">
        <v>374</v>
      </c>
      <c r="O526" s="91">
        <v>32</v>
      </c>
      <c r="P526" s="117" t="s">
        <v>60</v>
      </c>
      <c r="Q526" s="117">
        <v>11968</v>
      </c>
      <c r="R526" s="117">
        <v>0</v>
      </c>
      <c r="S526" s="117">
        <v>1088</v>
      </c>
      <c r="T526" s="117">
        <v>1088</v>
      </c>
      <c r="U526" s="117">
        <v>1088</v>
      </c>
      <c r="V526" s="117">
        <v>1088</v>
      </c>
      <c r="W526" s="117">
        <v>1088</v>
      </c>
      <c r="X526" s="117">
        <v>1088</v>
      </c>
      <c r="Y526" s="117">
        <v>1088</v>
      </c>
      <c r="Z526" s="117">
        <v>1088</v>
      </c>
      <c r="AA526" s="117">
        <v>1088</v>
      </c>
      <c r="AB526" s="117">
        <v>1088</v>
      </c>
      <c r="AC526" s="117">
        <v>1088</v>
      </c>
    </row>
    <row r="527" spans="1:29" s="4" customFormat="1" ht="37.799999999999997" customHeight="1" x14ac:dyDescent="0.3">
      <c r="A527" s="111" t="s">
        <v>640</v>
      </c>
      <c r="B527" s="111" t="s">
        <v>641</v>
      </c>
      <c r="C527" s="112" t="s">
        <v>69</v>
      </c>
      <c r="D527" s="67" t="s">
        <v>70</v>
      </c>
      <c r="E527" s="113" t="s">
        <v>69</v>
      </c>
      <c r="F527" s="67" t="s">
        <v>71</v>
      </c>
      <c r="G527" s="112">
        <v>22104</v>
      </c>
      <c r="H527" s="118" t="s">
        <v>688</v>
      </c>
      <c r="I527" s="100" t="s">
        <v>693</v>
      </c>
      <c r="J527" s="100" t="s">
        <v>694</v>
      </c>
      <c r="K527" s="91" t="s">
        <v>32</v>
      </c>
      <c r="L527" s="72" t="s">
        <v>32</v>
      </c>
      <c r="M527" s="67" t="s">
        <v>56</v>
      </c>
      <c r="N527" s="91">
        <v>28</v>
      </c>
      <c r="O527" s="91">
        <v>11.6</v>
      </c>
      <c r="P527" s="117" t="s">
        <v>60</v>
      </c>
      <c r="Q527" s="117">
        <v>325</v>
      </c>
      <c r="R527" s="117">
        <v>0</v>
      </c>
      <c r="S527" s="117">
        <v>0</v>
      </c>
      <c r="T527" s="117">
        <v>0</v>
      </c>
      <c r="U527" s="117">
        <v>0</v>
      </c>
      <c r="V527" s="117">
        <v>162</v>
      </c>
      <c r="W527" s="117">
        <v>0</v>
      </c>
      <c r="X527" s="117">
        <v>0</v>
      </c>
      <c r="Y527" s="117">
        <v>0</v>
      </c>
      <c r="Z527" s="117">
        <v>0</v>
      </c>
      <c r="AA527" s="117">
        <v>0</v>
      </c>
      <c r="AB527" s="117">
        <v>163</v>
      </c>
      <c r="AC527" s="117">
        <v>0</v>
      </c>
    </row>
    <row r="528" spans="1:29" s="4" customFormat="1" ht="40.200000000000003" customHeight="1" x14ac:dyDescent="0.3">
      <c r="A528" s="111" t="s">
        <v>640</v>
      </c>
      <c r="B528" s="111" t="s">
        <v>641</v>
      </c>
      <c r="C528" s="112" t="s">
        <v>69</v>
      </c>
      <c r="D528" s="67" t="s">
        <v>70</v>
      </c>
      <c r="E528" s="113" t="s">
        <v>69</v>
      </c>
      <c r="F528" s="67" t="s">
        <v>71</v>
      </c>
      <c r="G528" s="112">
        <v>22104</v>
      </c>
      <c r="H528" s="118" t="s">
        <v>688</v>
      </c>
      <c r="I528" s="100" t="s">
        <v>695</v>
      </c>
      <c r="J528" s="100" t="s">
        <v>696</v>
      </c>
      <c r="K528" s="91" t="s">
        <v>32</v>
      </c>
      <c r="L528" s="72" t="s">
        <v>32</v>
      </c>
      <c r="M528" s="67" t="s">
        <v>64</v>
      </c>
      <c r="N528" s="91">
        <v>2</v>
      </c>
      <c r="O528" s="91">
        <v>207.17599999999999</v>
      </c>
      <c r="P528" s="117" t="s">
        <v>60</v>
      </c>
      <c r="Q528" s="117">
        <v>414</v>
      </c>
      <c r="R528" s="117">
        <v>0</v>
      </c>
      <c r="S528" s="117">
        <v>207</v>
      </c>
      <c r="T528" s="117">
        <v>0</v>
      </c>
      <c r="U528" s="117">
        <v>0</v>
      </c>
      <c r="V528" s="117">
        <v>0</v>
      </c>
      <c r="W528" s="117">
        <v>0</v>
      </c>
      <c r="X528" s="117">
        <v>0</v>
      </c>
      <c r="Y528" s="117">
        <v>207</v>
      </c>
      <c r="Z528" s="117">
        <v>0</v>
      </c>
      <c r="AA528" s="117">
        <v>0</v>
      </c>
      <c r="AB528" s="117">
        <v>0</v>
      </c>
      <c r="AC528" s="117">
        <v>0</v>
      </c>
    </row>
    <row r="529" spans="1:29" s="4" customFormat="1" ht="40.799999999999997" customHeight="1" x14ac:dyDescent="0.3">
      <c r="A529" s="111" t="s">
        <v>640</v>
      </c>
      <c r="B529" s="111" t="s">
        <v>641</v>
      </c>
      <c r="C529" s="112" t="s">
        <v>69</v>
      </c>
      <c r="D529" s="67" t="s">
        <v>70</v>
      </c>
      <c r="E529" s="113" t="s">
        <v>69</v>
      </c>
      <c r="F529" s="67" t="s">
        <v>71</v>
      </c>
      <c r="G529" s="88">
        <v>22104</v>
      </c>
      <c r="H529" s="118" t="s">
        <v>688</v>
      </c>
      <c r="I529" s="100" t="s">
        <v>697</v>
      </c>
      <c r="J529" s="100" t="s">
        <v>698</v>
      </c>
      <c r="K529" s="91"/>
      <c r="L529" s="72" t="s">
        <v>32</v>
      </c>
      <c r="M529" s="67" t="s">
        <v>54</v>
      </c>
      <c r="N529" s="91">
        <v>2</v>
      </c>
      <c r="O529" s="91">
        <v>23.779999999999998</v>
      </c>
      <c r="P529" s="117" t="s">
        <v>60</v>
      </c>
      <c r="Q529" s="117">
        <v>48</v>
      </c>
      <c r="R529" s="117">
        <v>0</v>
      </c>
      <c r="S529" s="117">
        <v>0</v>
      </c>
      <c r="T529" s="117">
        <v>0</v>
      </c>
      <c r="U529" s="117">
        <v>0</v>
      </c>
      <c r="V529" s="117">
        <v>24</v>
      </c>
      <c r="W529" s="117">
        <v>0</v>
      </c>
      <c r="X529" s="117">
        <v>0</v>
      </c>
      <c r="Y529" s="117">
        <v>0</v>
      </c>
      <c r="Z529" s="117">
        <v>0</v>
      </c>
      <c r="AA529" s="117">
        <v>0</v>
      </c>
      <c r="AB529" s="117">
        <v>24</v>
      </c>
      <c r="AC529" s="117">
        <v>0</v>
      </c>
    </row>
    <row r="530" spans="1:29" s="4" customFormat="1" ht="48.6" customHeight="1" x14ac:dyDescent="0.3">
      <c r="A530" s="111" t="s">
        <v>640</v>
      </c>
      <c r="B530" s="111" t="s">
        <v>641</v>
      </c>
      <c r="C530" s="112" t="s">
        <v>69</v>
      </c>
      <c r="D530" s="67" t="s">
        <v>70</v>
      </c>
      <c r="E530" s="113" t="s">
        <v>69</v>
      </c>
      <c r="F530" s="67" t="s">
        <v>71</v>
      </c>
      <c r="G530" s="112">
        <v>22104</v>
      </c>
      <c r="H530" s="118" t="s">
        <v>688</v>
      </c>
      <c r="I530" s="100" t="s">
        <v>406</v>
      </c>
      <c r="J530" s="100" t="s">
        <v>699</v>
      </c>
      <c r="K530" s="91" t="s">
        <v>32</v>
      </c>
      <c r="L530" s="72" t="s">
        <v>32</v>
      </c>
      <c r="M530" s="67" t="s">
        <v>55</v>
      </c>
      <c r="N530" s="91">
        <v>1</v>
      </c>
      <c r="O530" s="91">
        <v>164.37199999999999</v>
      </c>
      <c r="P530" s="117" t="s">
        <v>60</v>
      </c>
      <c r="Q530" s="117">
        <v>164</v>
      </c>
      <c r="R530" s="117">
        <v>0</v>
      </c>
      <c r="S530" s="117">
        <v>0</v>
      </c>
      <c r="T530" s="117">
        <v>0</v>
      </c>
      <c r="U530" s="117">
        <v>0</v>
      </c>
      <c r="V530" s="117">
        <v>0</v>
      </c>
      <c r="W530" s="117">
        <v>0</v>
      </c>
      <c r="X530" s="117">
        <v>0</v>
      </c>
      <c r="Y530" s="117">
        <v>164</v>
      </c>
      <c r="Z530" s="117">
        <v>0</v>
      </c>
      <c r="AA530" s="117">
        <v>0</v>
      </c>
      <c r="AB530" s="117">
        <v>0</v>
      </c>
      <c r="AC530" s="117">
        <v>0</v>
      </c>
    </row>
    <row r="531" spans="1:29" s="4" customFormat="1" ht="41.4" customHeight="1" x14ac:dyDescent="0.3">
      <c r="A531" s="111" t="s">
        <v>640</v>
      </c>
      <c r="B531" s="111" t="s">
        <v>641</v>
      </c>
      <c r="C531" s="112" t="s">
        <v>69</v>
      </c>
      <c r="D531" s="67" t="s">
        <v>70</v>
      </c>
      <c r="E531" s="113" t="s">
        <v>69</v>
      </c>
      <c r="F531" s="67" t="s">
        <v>71</v>
      </c>
      <c r="G531" s="112">
        <v>22104</v>
      </c>
      <c r="H531" s="118" t="s">
        <v>688</v>
      </c>
      <c r="I531" s="100" t="s">
        <v>700</v>
      </c>
      <c r="J531" s="100" t="s">
        <v>701</v>
      </c>
      <c r="K531" s="91" t="s">
        <v>32</v>
      </c>
      <c r="L531" s="72" t="s">
        <v>32</v>
      </c>
      <c r="M531" s="67" t="s">
        <v>55</v>
      </c>
      <c r="N531" s="91">
        <v>20</v>
      </c>
      <c r="O531" s="91">
        <v>194.76399999999998</v>
      </c>
      <c r="P531" s="117" t="s">
        <v>60</v>
      </c>
      <c r="Q531" s="117">
        <v>3895</v>
      </c>
      <c r="R531" s="117">
        <v>0</v>
      </c>
      <c r="S531" s="117">
        <v>974</v>
      </c>
      <c r="T531" s="117">
        <v>0</v>
      </c>
      <c r="U531" s="117">
        <v>0</v>
      </c>
      <c r="V531" s="117">
        <v>974</v>
      </c>
      <c r="W531" s="117">
        <v>0</v>
      </c>
      <c r="X531" s="117">
        <v>0</v>
      </c>
      <c r="Y531" s="117">
        <v>974</v>
      </c>
      <c r="Z531" s="117">
        <v>0</v>
      </c>
      <c r="AA531" s="117">
        <v>0</v>
      </c>
      <c r="AB531" s="117">
        <v>973</v>
      </c>
      <c r="AC531" s="117">
        <v>0</v>
      </c>
    </row>
    <row r="532" spans="1:29" s="4" customFormat="1" ht="30" customHeight="1" x14ac:dyDescent="0.3">
      <c r="A532" s="111" t="s">
        <v>640</v>
      </c>
      <c r="B532" s="111" t="s">
        <v>641</v>
      </c>
      <c r="C532" s="112" t="s">
        <v>69</v>
      </c>
      <c r="D532" s="67" t="s">
        <v>70</v>
      </c>
      <c r="E532" s="113" t="s">
        <v>69</v>
      </c>
      <c r="F532" s="67" t="s">
        <v>71</v>
      </c>
      <c r="G532" s="72">
        <v>25301</v>
      </c>
      <c r="H532" s="122" t="s">
        <v>702</v>
      </c>
      <c r="I532" s="123" t="s">
        <v>703</v>
      </c>
      <c r="J532" s="123" t="s">
        <v>704</v>
      </c>
      <c r="K532" s="91" t="s">
        <v>32</v>
      </c>
      <c r="L532" s="72" t="s">
        <v>32</v>
      </c>
      <c r="M532" s="124" t="s">
        <v>55</v>
      </c>
      <c r="N532" s="91">
        <v>1</v>
      </c>
      <c r="O532" s="91">
        <v>82</v>
      </c>
      <c r="P532" s="117" t="s">
        <v>60</v>
      </c>
      <c r="Q532" s="117">
        <v>82</v>
      </c>
      <c r="R532" s="117">
        <v>0</v>
      </c>
      <c r="S532" s="117">
        <v>82</v>
      </c>
      <c r="T532" s="117">
        <v>0</v>
      </c>
      <c r="U532" s="117">
        <v>0</v>
      </c>
      <c r="V532" s="117">
        <v>0</v>
      </c>
      <c r="W532" s="117">
        <v>0</v>
      </c>
      <c r="X532" s="117">
        <v>0</v>
      </c>
      <c r="Y532" s="117">
        <v>0</v>
      </c>
      <c r="Z532" s="117">
        <v>0</v>
      </c>
      <c r="AA532" s="117">
        <v>0</v>
      </c>
      <c r="AB532" s="117">
        <v>0</v>
      </c>
      <c r="AC532" s="117">
        <v>0</v>
      </c>
    </row>
    <row r="533" spans="1:29" s="4" customFormat="1" ht="30" customHeight="1" x14ac:dyDescent="0.3">
      <c r="A533" s="111" t="s">
        <v>640</v>
      </c>
      <c r="B533" s="111" t="s">
        <v>641</v>
      </c>
      <c r="C533" s="112" t="s">
        <v>69</v>
      </c>
      <c r="D533" s="67" t="s">
        <v>70</v>
      </c>
      <c r="E533" s="113" t="s">
        <v>69</v>
      </c>
      <c r="F533" s="67" t="s">
        <v>71</v>
      </c>
      <c r="G533" s="72">
        <v>25301</v>
      </c>
      <c r="H533" s="122" t="s">
        <v>702</v>
      </c>
      <c r="I533" s="123" t="s">
        <v>705</v>
      </c>
      <c r="J533" s="123" t="s">
        <v>706</v>
      </c>
      <c r="K533" s="91" t="s">
        <v>32</v>
      </c>
      <c r="L533" s="72" t="s">
        <v>32</v>
      </c>
      <c r="M533" s="124" t="s">
        <v>55</v>
      </c>
      <c r="N533" s="91">
        <v>1</v>
      </c>
      <c r="O533" s="91">
        <v>120</v>
      </c>
      <c r="P533" s="117" t="s">
        <v>60</v>
      </c>
      <c r="Q533" s="117">
        <v>120</v>
      </c>
      <c r="R533" s="117">
        <v>0</v>
      </c>
      <c r="S533" s="117">
        <v>120</v>
      </c>
      <c r="T533" s="117">
        <v>0</v>
      </c>
      <c r="U533" s="117">
        <v>0</v>
      </c>
      <c r="V533" s="117">
        <v>0</v>
      </c>
      <c r="W533" s="117">
        <v>0</v>
      </c>
      <c r="X533" s="117">
        <v>0</v>
      </c>
      <c r="Y533" s="117">
        <v>0</v>
      </c>
      <c r="Z533" s="117">
        <v>0</v>
      </c>
      <c r="AA533" s="117">
        <v>0</v>
      </c>
      <c r="AB533" s="117">
        <v>0</v>
      </c>
      <c r="AC533" s="117">
        <v>0</v>
      </c>
    </row>
    <row r="534" spans="1:29" s="4" customFormat="1" ht="30" customHeight="1" x14ac:dyDescent="0.3">
      <c r="A534" s="111" t="s">
        <v>640</v>
      </c>
      <c r="B534" s="111" t="s">
        <v>641</v>
      </c>
      <c r="C534" s="112" t="s">
        <v>69</v>
      </c>
      <c r="D534" s="67" t="s">
        <v>70</v>
      </c>
      <c r="E534" s="113" t="s">
        <v>69</v>
      </c>
      <c r="F534" s="67" t="s">
        <v>71</v>
      </c>
      <c r="G534" s="72">
        <v>25301</v>
      </c>
      <c r="H534" s="122" t="s">
        <v>702</v>
      </c>
      <c r="I534" s="123" t="s">
        <v>707</v>
      </c>
      <c r="J534" s="123" t="s">
        <v>708</v>
      </c>
      <c r="K534" s="91" t="s">
        <v>32</v>
      </c>
      <c r="L534" s="72" t="s">
        <v>32</v>
      </c>
      <c r="M534" s="124" t="s">
        <v>55</v>
      </c>
      <c r="N534" s="91">
        <v>1</v>
      </c>
      <c r="O534" s="91">
        <v>276</v>
      </c>
      <c r="P534" s="117" t="s">
        <v>60</v>
      </c>
      <c r="Q534" s="117">
        <v>276</v>
      </c>
      <c r="R534" s="117">
        <v>0</v>
      </c>
      <c r="S534" s="117">
        <v>276</v>
      </c>
      <c r="T534" s="117">
        <v>0</v>
      </c>
      <c r="U534" s="117">
        <v>0</v>
      </c>
      <c r="V534" s="117">
        <v>0</v>
      </c>
      <c r="W534" s="117">
        <v>0</v>
      </c>
      <c r="X534" s="117">
        <v>0</v>
      </c>
      <c r="Y534" s="117">
        <v>0</v>
      </c>
      <c r="Z534" s="117">
        <v>0</v>
      </c>
      <c r="AA534" s="117">
        <v>0</v>
      </c>
      <c r="AB534" s="117">
        <v>0</v>
      </c>
      <c r="AC534" s="117">
        <v>0</v>
      </c>
    </row>
    <row r="535" spans="1:29" s="4" customFormat="1" ht="30" customHeight="1" x14ac:dyDescent="0.3">
      <c r="A535" s="111" t="s">
        <v>640</v>
      </c>
      <c r="B535" s="111" t="s">
        <v>641</v>
      </c>
      <c r="C535" s="112" t="s">
        <v>69</v>
      </c>
      <c r="D535" s="67" t="s">
        <v>70</v>
      </c>
      <c r="E535" s="113" t="s">
        <v>69</v>
      </c>
      <c r="F535" s="67" t="s">
        <v>71</v>
      </c>
      <c r="G535" s="72">
        <v>25301</v>
      </c>
      <c r="H535" s="122" t="s">
        <v>702</v>
      </c>
      <c r="I535" s="123" t="s">
        <v>709</v>
      </c>
      <c r="J535" s="123" t="s">
        <v>710</v>
      </c>
      <c r="K535" s="91" t="s">
        <v>32</v>
      </c>
      <c r="L535" s="72" t="s">
        <v>32</v>
      </c>
      <c r="M535" s="124" t="s">
        <v>55</v>
      </c>
      <c r="N535" s="91">
        <v>1</v>
      </c>
      <c r="O535" s="91">
        <v>40</v>
      </c>
      <c r="P535" s="117" t="s">
        <v>60</v>
      </c>
      <c r="Q535" s="117">
        <v>40</v>
      </c>
      <c r="R535" s="117">
        <v>0</v>
      </c>
      <c r="S535" s="117">
        <v>40</v>
      </c>
      <c r="T535" s="117">
        <v>0</v>
      </c>
      <c r="U535" s="117">
        <v>0</v>
      </c>
      <c r="V535" s="117">
        <v>0</v>
      </c>
      <c r="W535" s="117">
        <v>0</v>
      </c>
      <c r="X535" s="117">
        <v>0</v>
      </c>
      <c r="Y535" s="117">
        <v>0</v>
      </c>
      <c r="Z535" s="117">
        <v>0</v>
      </c>
      <c r="AA535" s="117">
        <v>0</v>
      </c>
      <c r="AB535" s="117">
        <v>0</v>
      </c>
      <c r="AC535" s="117">
        <v>0</v>
      </c>
    </row>
    <row r="536" spans="1:29" s="4" customFormat="1" ht="30" customHeight="1" x14ac:dyDescent="0.3">
      <c r="A536" s="111" t="s">
        <v>640</v>
      </c>
      <c r="B536" s="111" t="s">
        <v>641</v>
      </c>
      <c r="C536" s="112" t="s">
        <v>69</v>
      </c>
      <c r="D536" s="67" t="s">
        <v>70</v>
      </c>
      <c r="E536" s="113" t="s">
        <v>69</v>
      </c>
      <c r="F536" s="67" t="s">
        <v>71</v>
      </c>
      <c r="G536" s="72">
        <v>25301</v>
      </c>
      <c r="H536" s="122" t="s">
        <v>702</v>
      </c>
      <c r="I536" s="123" t="s">
        <v>711</v>
      </c>
      <c r="J536" s="123" t="s">
        <v>712</v>
      </c>
      <c r="K536" s="91" t="s">
        <v>32</v>
      </c>
      <c r="L536" s="72" t="s">
        <v>32</v>
      </c>
      <c r="M536" s="124" t="s">
        <v>55</v>
      </c>
      <c r="N536" s="91">
        <v>2</v>
      </c>
      <c r="O536" s="91">
        <v>105</v>
      </c>
      <c r="P536" s="117" t="s">
        <v>60</v>
      </c>
      <c r="Q536" s="117">
        <v>210</v>
      </c>
      <c r="R536" s="117">
        <v>0</v>
      </c>
      <c r="S536" s="117">
        <v>210</v>
      </c>
      <c r="T536" s="117">
        <v>0</v>
      </c>
      <c r="U536" s="117">
        <v>0</v>
      </c>
      <c r="V536" s="117">
        <v>0</v>
      </c>
      <c r="W536" s="117">
        <v>0</v>
      </c>
      <c r="X536" s="117">
        <v>0</v>
      </c>
      <c r="Y536" s="117">
        <v>0</v>
      </c>
      <c r="Z536" s="117">
        <v>0</v>
      </c>
      <c r="AA536" s="117">
        <v>0</v>
      </c>
      <c r="AB536" s="117">
        <v>0</v>
      </c>
      <c r="AC536" s="117">
        <v>0</v>
      </c>
    </row>
    <row r="537" spans="1:29" s="4" customFormat="1" ht="30" customHeight="1" x14ac:dyDescent="0.3">
      <c r="A537" s="111" t="s">
        <v>640</v>
      </c>
      <c r="B537" s="111" t="s">
        <v>641</v>
      </c>
      <c r="C537" s="112" t="s">
        <v>69</v>
      </c>
      <c r="D537" s="67" t="s">
        <v>70</v>
      </c>
      <c r="E537" s="113" t="s">
        <v>69</v>
      </c>
      <c r="F537" s="67" t="s">
        <v>71</v>
      </c>
      <c r="G537" s="72">
        <v>25301</v>
      </c>
      <c r="H537" s="122" t="s">
        <v>702</v>
      </c>
      <c r="I537" s="123" t="s">
        <v>713</v>
      </c>
      <c r="J537" s="123" t="s">
        <v>714</v>
      </c>
      <c r="K537" s="91" t="s">
        <v>32</v>
      </c>
      <c r="L537" s="72" t="s">
        <v>32</v>
      </c>
      <c r="M537" s="124" t="s">
        <v>55</v>
      </c>
      <c r="N537" s="91">
        <v>1</v>
      </c>
      <c r="O537" s="91">
        <v>38</v>
      </c>
      <c r="P537" s="117" t="s">
        <v>60</v>
      </c>
      <c r="Q537" s="117">
        <v>38</v>
      </c>
      <c r="R537" s="117">
        <v>0</v>
      </c>
      <c r="S537" s="117">
        <v>38</v>
      </c>
      <c r="T537" s="117">
        <v>0</v>
      </c>
      <c r="U537" s="117">
        <v>0</v>
      </c>
      <c r="V537" s="117">
        <v>0</v>
      </c>
      <c r="W537" s="117">
        <v>0</v>
      </c>
      <c r="X537" s="117">
        <v>0</v>
      </c>
      <c r="Y537" s="117">
        <v>0</v>
      </c>
      <c r="Z537" s="117">
        <v>0</v>
      </c>
      <c r="AA537" s="117">
        <v>0</v>
      </c>
      <c r="AB537" s="117">
        <v>0</v>
      </c>
      <c r="AC537" s="117">
        <v>0</v>
      </c>
    </row>
    <row r="538" spans="1:29" s="4" customFormat="1" ht="30" customHeight="1" x14ac:dyDescent="0.3">
      <c r="A538" s="111" t="s">
        <v>640</v>
      </c>
      <c r="B538" s="111" t="s">
        <v>641</v>
      </c>
      <c r="C538" s="112" t="s">
        <v>69</v>
      </c>
      <c r="D538" s="67" t="s">
        <v>70</v>
      </c>
      <c r="E538" s="113" t="s">
        <v>69</v>
      </c>
      <c r="F538" s="67" t="s">
        <v>71</v>
      </c>
      <c r="G538" s="72">
        <v>25301</v>
      </c>
      <c r="H538" s="122" t="s">
        <v>702</v>
      </c>
      <c r="I538" s="123" t="s">
        <v>715</v>
      </c>
      <c r="J538" s="123" t="s">
        <v>716</v>
      </c>
      <c r="K538" s="91" t="s">
        <v>32</v>
      </c>
      <c r="L538" s="72" t="s">
        <v>32</v>
      </c>
      <c r="M538" s="124" t="s">
        <v>55</v>
      </c>
      <c r="N538" s="91">
        <v>1</v>
      </c>
      <c r="O538" s="91">
        <v>32</v>
      </c>
      <c r="P538" s="117" t="s">
        <v>60</v>
      </c>
      <c r="Q538" s="117">
        <v>32</v>
      </c>
      <c r="R538" s="117">
        <v>0</v>
      </c>
      <c r="S538" s="117">
        <v>32</v>
      </c>
      <c r="T538" s="117">
        <v>0</v>
      </c>
      <c r="U538" s="117">
        <v>0</v>
      </c>
      <c r="V538" s="117">
        <v>0</v>
      </c>
      <c r="W538" s="117">
        <v>0</v>
      </c>
      <c r="X538" s="117">
        <v>0</v>
      </c>
      <c r="Y538" s="117">
        <v>0</v>
      </c>
      <c r="Z538" s="117">
        <v>0</v>
      </c>
      <c r="AA538" s="117">
        <v>0</v>
      </c>
      <c r="AB538" s="117">
        <v>0</v>
      </c>
      <c r="AC538" s="117">
        <v>0</v>
      </c>
    </row>
    <row r="539" spans="1:29" s="4" customFormat="1" ht="30" customHeight="1" x14ac:dyDescent="0.3">
      <c r="A539" s="111" t="s">
        <v>640</v>
      </c>
      <c r="B539" s="111" t="s">
        <v>641</v>
      </c>
      <c r="C539" s="112" t="s">
        <v>69</v>
      </c>
      <c r="D539" s="67" t="s">
        <v>70</v>
      </c>
      <c r="E539" s="113" t="s">
        <v>69</v>
      </c>
      <c r="F539" s="67" t="s">
        <v>71</v>
      </c>
      <c r="G539" s="72">
        <v>25301</v>
      </c>
      <c r="H539" s="122" t="s">
        <v>702</v>
      </c>
      <c r="I539" s="123" t="s">
        <v>717</v>
      </c>
      <c r="J539" s="123" t="s">
        <v>718</v>
      </c>
      <c r="K539" s="91" t="s">
        <v>32</v>
      </c>
      <c r="L539" s="72" t="s">
        <v>32</v>
      </c>
      <c r="M539" s="124" t="s">
        <v>66</v>
      </c>
      <c r="N539" s="91">
        <v>2</v>
      </c>
      <c r="O539" s="91">
        <v>88</v>
      </c>
      <c r="P539" s="117" t="s">
        <v>60</v>
      </c>
      <c r="Q539" s="117">
        <v>176</v>
      </c>
      <c r="R539" s="117">
        <v>0</v>
      </c>
      <c r="S539" s="117">
        <v>176</v>
      </c>
      <c r="T539" s="117">
        <v>0</v>
      </c>
      <c r="U539" s="117">
        <v>0</v>
      </c>
      <c r="V539" s="117">
        <v>0</v>
      </c>
      <c r="W539" s="117">
        <v>0</v>
      </c>
      <c r="X539" s="117">
        <v>0</v>
      </c>
      <c r="Y539" s="117">
        <v>0</v>
      </c>
      <c r="Z539" s="117">
        <v>0</v>
      </c>
      <c r="AA539" s="117">
        <v>0</v>
      </c>
      <c r="AB539" s="117">
        <v>0</v>
      </c>
      <c r="AC539" s="117">
        <v>0</v>
      </c>
    </row>
    <row r="540" spans="1:29" s="4" customFormat="1" ht="30" customHeight="1" x14ac:dyDescent="0.3">
      <c r="A540" s="111" t="s">
        <v>640</v>
      </c>
      <c r="B540" s="111" t="s">
        <v>641</v>
      </c>
      <c r="C540" s="112" t="s">
        <v>69</v>
      </c>
      <c r="D540" s="67" t="s">
        <v>70</v>
      </c>
      <c r="E540" s="113" t="s">
        <v>69</v>
      </c>
      <c r="F540" s="67" t="s">
        <v>71</v>
      </c>
      <c r="G540" s="72">
        <v>25301</v>
      </c>
      <c r="H540" s="122" t="s">
        <v>702</v>
      </c>
      <c r="I540" s="123" t="s">
        <v>719</v>
      </c>
      <c r="J540" s="123" t="s">
        <v>720</v>
      </c>
      <c r="K540" s="91" t="s">
        <v>32</v>
      </c>
      <c r="L540" s="72" t="s">
        <v>32</v>
      </c>
      <c r="M540" s="124" t="s">
        <v>66</v>
      </c>
      <c r="N540" s="91">
        <v>1</v>
      </c>
      <c r="O540" s="91">
        <v>80.5</v>
      </c>
      <c r="P540" s="117" t="s">
        <v>60</v>
      </c>
      <c r="Q540" s="117">
        <v>81</v>
      </c>
      <c r="R540" s="117">
        <v>0</v>
      </c>
      <c r="S540" s="117">
        <v>81</v>
      </c>
      <c r="T540" s="117">
        <v>0</v>
      </c>
      <c r="U540" s="117">
        <v>0</v>
      </c>
      <c r="V540" s="117">
        <v>0</v>
      </c>
      <c r="W540" s="117">
        <v>0</v>
      </c>
      <c r="X540" s="117">
        <v>0</v>
      </c>
      <c r="Y540" s="117">
        <v>0</v>
      </c>
      <c r="Z540" s="117">
        <v>0</v>
      </c>
      <c r="AA540" s="117">
        <v>0</v>
      </c>
      <c r="AB540" s="117">
        <v>0</v>
      </c>
      <c r="AC540" s="117">
        <v>0</v>
      </c>
    </row>
    <row r="541" spans="1:29" s="4" customFormat="1" ht="30" customHeight="1" x14ac:dyDescent="0.3">
      <c r="A541" s="111" t="s">
        <v>640</v>
      </c>
      <c r="B541" s="111" t="s">
        <v>641</v>
      </c>
      <c r="C541" s="112" t="s">
        <v>69</v>
      </c>
      <c r="D541" s="67" t="s">
        <v>70</v>
      </c>
      <c r="E541" s="113" t="s">
        <v>69</v>
      </c>
      <c r="F541" s="67" t="s">
        <v>71</v>
      </c>
      <c r="G541" s="72">
        <v>25301</v>
      </c>
      <c r="H541" s="122" t="s">
        <v>702</v>
      </c>
      <c r="I541" s="123" t="s">
        <v>721</v>
      </c>
      <c r="J541" s="123" t="s">
        <v>722</v>
      </c>
      <c r="K541" s="91" t="s">
        <v>32</v>
      </c>
      <c r="L541" s="72" t="s">
        <v>32</v>
      </c>
      <c r="M541" s="124" t="s">
        <v>66</v>
      </c>
      <c r="N541" s="91">
        <v>1</v>
      </c>
      <c r="O541" s="91">
        <v>127</v>
      </c>
      <c r="P541" s="117" t="s">
        <v>60</v>
      </c>
      <c r="Q541" s="117">
        <v>127</v>
      </c>
      <c r="R541" s="117">
        <v>0</v>
      </c>
      <c r="S541" s="117">
        <v>127</v>
      </c>
      <c r="T541" s="117">
        <v>0</v>
      </c>
      <c r="U541" s="117">
        <v>0</v>
      </c>
      <c r="V541" s="117">
        <v>0</v>
      </c>
      <c r="W541" s="117">
        <v>0</v>
      </c>
      <c r="X541" s="117">
        <v>0</v>
      </c>
      <c r="Y541" s="117">
        <v>0</v>
      </c>
      <c r="Z541" s="117">
        <v>0</v>
      </c>
      <c r="AA541" s="117">
        <v>0</v>
      </c>
      <c r="AB541" s="117">
        <v>0</v>
      </c>
      <c r="AC541" s="117">
        <v>0</v>
      </c>
    </row>
    <row r="542" spans="1:29" s="4" customFormat="1" ht="30" customHeight="1" x14ac:dyDescent="0.3">
      <c r="A542" s="111" t="s">
        <v>640</v>
      </c>
      <c r="B542" s="111" t="s">
        <v>641</v>
      </c>
      <c r="C542" s="112" t="s">
        <v>69</v>
      </c>
      <c r="D542" s="67" t="s">
        <v>70</v>
      </c>
      <c r="E542" s="113" t="s">
        <v>69</v>
      </c>
      <c r="F542" s="67" t="s">
        <v>71</v>
      </c>
      <c r="G542" s="72">
        <v>25301</v>
      </c>
      <c r="H542" s="122" t="s">
        <v>702</v>
      </c>
      <c r="I542" s="123" t="s">
        <v>723</v>
      </c>
      <c r="J542" s="123" t="s">
        <v>724</v>
      </c>
      <c r="K542" s="91" t="s">
        <v>32</v>
      </c>
      <c r="L542" s="72" t="s">
        <v>32</v>
      </c>
      <c r="M542" s="124" t="s">
        <v>66</v>
      </c>
      <c r="N542" s="91">
        <v>1</v>
      </c>
      <c r="O542" s="91">
        <v>237</v>
      </c>
      <c r="P542" s="117" t="s">
        <v>60</v>
      </c>
      <c r="Q542" s="117">
        <v>237</v>
      </c>
      <c r="R542" s="117">
        <v>0</v>
      </c>
      <c r="S542" s="117">
        <v>237</v>
      </c>
      <c r="T542" s="117">
        <v>0</v>
      </c>
      <c r="U542" s="117">
        <v>0</v>
      </c>
      <c r="V542" s="117">
        <v>0</v>
      </c>
      <c r="W542" s="117">
        <v>0</v>
      </c>
      <c r="X542" s="117">
        <v>0</v>
      </c>
      <c r="Y542" s="117">
        <v>0</v>
      </c>
      <c r="Z542" s="117">
        <v>0</v>
      </c>
      <c r="AA542" s="117">
        <v>0</v>
      </c>
      <c r="AB542" s="117">
        <v>0</v>
      </c>
      <c r="AC542" s="117">
        <v>0</v>
      </c>
    </row>
    <row r="543" spans="1:29" s="4" customFormat="1" ht="41.4" customHeight="1" x14ac:dyDescent="0.3">
      <c r="A543" s="111" t="s">
        <v>640</v>
      </c>
      <c r="B543" s="111" t="s">
        <v>641</v>
      </c>
      <c r="C543" s="112" t="s">
        <v>69</v>
      </c>
      <c r="D543" s="67" t="s">
        <v>70</v>
      </c>
      <c r="E543" s="113" t="s">
        <v>69</v>
      </c>
      <c r="F543" s="67" t="s">
        <v>71</v>
      </c>
      <c r="G543" s="125">
        <v>26102</v>
      </c>
      <c r="H543" s="118" t="s">
        <v>725</v>
      </c>
      <c r="I543" s="121" t="s">
        <v>313</v>
      </c>
      <c r="J543" s="121" t="s">
        <v>571</v>
      </c>
      <c r="K543" s="91" t="s">
        <v>32</v>
      </c>
      <c r="L543" s="72" t="s">
        <v>32</v>
      </c>
      <c r="M543" s="125" t="s">
        <v>726</v>
      </c>
      <c r="N543" s="91">
        <v>4</v>
      </c>
      <c r="O543" s="91">
        <v>15000</v>
      </c>
      <c r="P543" s="117" t="s">
        <v>60</v>
      </c>
      <c r="Q543" s="117">
        <v>60000</v>
      </c>
      <c r="R543" s="117">
        <v>0</v>
      </c>
      <c r="S543" s="117">
        <v>15000</v>
      </c>
      <c r="T543" s="117">
        <v>0</v>
      </c>
      <c r="U543" s="117">
        <v>0</v>
      </c>
      <c r="V543" s="117">
        <v>15000</v>
      </c>
      <c r="W543" s="117">
        <v>0</v>
      </c>
      <c r="X543" s="117">
        <v>0</v>
      </c>
      <c r="Y543" s="117">
        <v>15000</v>
      </c>
      <c r="Z543" s="117">
        <v>0</v>
      </c>
      <c r="AA543" s="117">
        <v>0</v>
      </c>
      <c r="AB543" s="117">
        <v>15000</v>
      </c>
      <c r="AC543" s="117">
        <v>0</v>
      </c>
    </row>
    <row r="544" spans="1:29" s="4" customFormat="1" ht="40.200000000000003" customHeight="1" x14ac:dyDescent="0.3">
      <c r="A544" s="111" t="s">
        <v>640</v>
      </c>
      <c r="B544" s="111" t="s">
        <v>641</v>
      </c>
      <c r="C544" s="112" t="s">
        <v>69</v>
      </c>
      <c r="D544" s="67" t="s">
        <v>70</v>
      </c>
      <c r="E544" s="113" t="s">
        <v>69</v>
      </c>
      <c r="F544" s="67" t="s">
        <v>71</v>
      </c>
      <c r="G544" s="125" t="s">
        <v>727</v>
      </c>
      <c r="H544" s="126" t="s">
        <v>570</v>
      </c>
      <c r="I544" s="121" t="s">
        <v>728</v>
      </c>
      <c r="J544" s="121" t="s">
        <v>729</v>
      </c>
      <c r="K544" s="91" t="s">
        <v>32</v>
      </c>
      <c r="L544" s="72" t="s">
        <v>32</v>
      </c>
      <c r="M544" s="125" t="s">
        <v>54</v>
      </c>
      <c r="N544" s="91">
        <v>4</v>
      </c>
      <c r="O544" s="91">
        <v>54.684000000000005</v>
      </c>
      <c r="P544" s="117" t="s">
        <v>60</v>
      </c>
      <c r="Q544" s="117">
        <v>220</v>
      </c>
      <c r="R544" s="117">
        <v>0</v>
      </c>
      <c r="S544" s="117">
        <v>55</v>
      </c>
      <c r="T544" s="117">
        <v>0</v>
      </c>
      <c r="U544" s="117">
        <v>0</v>
      </c>
      <c r="V544" s="117">
        <v>55</v>
      </c>
      <c r="W544" s="117">
        <v>0</v>
      </c>
      <c r="X544" s="117">
        <v>0</v>
      </c>
      <c r="Y544" s="117">
        <v>54</v>
      </c>
      <c r="Z544" s="117">
        <v>0</v>
      </c>
      <c r="AA544" s="117">
        <v>0</v>
      </c>
      <c r="AB544" s="117">
        <v>56</v>
      </c>
      <c r="AC544" s="117">
        <v>0</v>
      </c>
    </row>
    <row r="545" spans="1:29" s="4" customFormat="1" ht="37.200000000000003" customHeight="1" x14ac:dyDescent="0.3">
      <c r="A545" s="111" t="s">
        <v>640</v>
      </c>
      <c r="B545" s="111" t="s">
        <v>641</v>
      </c>
      <c r="C545" s="112" t="s">
        <v>69</v>
      </c>
      <c r="D545" s="67" t="s">
        <v>70</v>
      </c>
      <c r="E545" s="113" t="s">
        <v>69</v>
      </c>
      <c r="F545" s="67" t="s">
        <v>71</v>
      </c>
      <c r="G545" s="125" t="s">
        <v>727</v>
      </c>
      <c r="H545" s="126" t="s">
        <v>570</v>
      </c>
      <c r="I545" s="121" t="s">
        <v>730</v>
      </c>
      <c r="J545" s="121" t="s">
        <v>731</v>
      </c>
      <c r="K545" s="91" t="s">
        <v>32</v>
      </c>
      <c r="L545" s="72" t="s">
        <v>32</v>
      </c>
      <c r="M545" s="125" t="s">
        <v>54</v>
      </c>
      <c r="N545" s="91">
        <v>4</v>
      </c>
      <c r="O545" s="91">
        <v>95.11999999999999</v>
      </c>
      <c r="P545" s="117" t="s">
        <v>60</v>
      </c>
      <c r="Q545" s="117">
        <v>380</v>
      </c>
      <c r="R545" s="117">
        <v>0</v>
      </c>
      <c r="S545" s="117">
        <v>95</v>
      </c>
      <c r="T545" s="117">
        <v>0</v>
      </c>
      <c r="U545" s="117">
        <v>0</v>
      </c>
      <c r="V545" s="117">
        <v>95</v>
      </c>
      <c r="W545" s="117">
        <v>0</v>
      </c>
      <c r="X545" s="117">
        <v>0</v>
      </c>
      <c r="Y545" s="117">
        <v>95</v>
      </c>
      <c r="Z545" s="117">
        <v>0</v>
      </c>
      <c r="AA545" s="117">
        <v>0</v>
      </c>
      <c r="AB545" s="117">
        <v>95</v>
      </c>
      <c r="AC545" s="117">
        <v>0</v>
      </c>
    </row>
    <row r="546" spans="1:29" s="4" customFormat="1" ht="30" customHeight="1" x14ac:dyDescent="0.3">
      <c r="A546" s="111" t="s">
        <v>640</v>
      </c>
      <c r="B546" s="111" t="s">
        <v>641</v>
      </c>
      <c r="C546" s="112" t="s">
        <v>69</v>
      </c>
      <c r="D546" s="67" t="s">
        <v>70</v>
      </c>
      <c r="E546" s="113" t="s">
        <v>69</v>
      </c>
      <c r="F546" s="67" t="s">
        <v>71</v>
      </c>
      <c r="G546" s="125" t="s">
        <v>732</v>
      </c>
      <c r="H546" s="118" t="s">
        <v>733</v>
      </c>
      <c r="I546" s="121" t="s">
        <v>734</v>
      </c>
      <c r="J546" s="121" t="s">
        <v>735</v>
      </c>
      <c r="K546" s="91" t="s">
        <v>32</v>
      </c>
      <c r="L546" s="72" t="s">
        <v>32</v>
      </c>
      <c r="M546" s="125" t="s">
        <v>54</v>
      </c>
      <c r="N546" s="91">
        <v>17</v>
      </c>
      <c r="O546" s="91">
        <v>325</v>
      </c>
      <c r="P546" s="117" t="s">
        <v>60</v>
      </c>
      <c r="Q546" s="117">
        <v>5525</v>
      </c>
      <c r="R546" s="117">
        <v>0</v>
      </c>
      <c r="S546" s="117">
        <v>5525</v>
      </c>
      <c r="T546" s="117">
        <v>0</v>
      </c>
      <c r="U546" s="117">
        <v>0</v>
      </c>
      <c r="V546" s="117">
        <v>0</v>
      </c>
      <c r="W546" s="117">
        <v>0</v>
      </c>
      <c r="X546" s="117">
        <v>0</v>
      </c>
      <c r="Y546" s="117">
        <v>0</v>
      </c>
      <c r="Z546" s="117">
        <v>0</v>
      </c>
      <c r="AA546" s="117">
        <v>0</v>
      </c>
      <c r="AB546" s="117">
        <v>0</v>
      </c>
      <c r="AC546" s="117">
        <v>0</v>
      </c>
    </row>
    <row r="547" spans="1:29" s="4" customFormat="1" ht="40.799999999999997" customHeight="1" x14ac:dyDescent="0.3">
      <c r="A547" s="111" t="s">
        <v>640</v>
      </c>
      <c r="B547" s="111" t="s">
        <v>641</v>
      </c>
      <c r="C547" s="112" t="s">
        <v>69</v>
      </c>
      <c r="D547" s="67" t="s">
        <v>70</v>
      </c>
      <c r="E547" s="113" t="s">
        <v>69</v>
      </c>
      <c r="F547" s="67" t="s">
        <v>71</v>
      </c>
      <c r="G547" s="125">
        <v>29601</v>
      </c>
      <c r="H547" s="118" t="s">
        <v>558</v>
      </c>
      <c r="I547" s="121" t="s">
        <v>736</v>
      </c>
      <c r="J547" s="121" t="s">
        <v>737</v>
      </c>
      <c r="K547" s="91" t="s">
        <v>32</v>
      </c>
      <c r="L547" s="72" t="s">
        <v>32</v>
      </c>
      <c r="M547" s="125" t="s">
        <v>59</v>
      </c>
      <c r="N547" s="91">
        <v>3</v>
      </c>
      <c r="O547" s="91">
        <v>106</v>
      </c>
      <c r="P547" s="117" t="s">
        <v>60</v>
      </c>
      <c r="Q547" s="117">
        <v>318</v>
      </c>
      <c r="R547" s="117">
        <v>0</v>
      </c>
      <c r="S547" s="117">
        <v>0</v>
      </c>
      <c r="T547" s="117">
        <v>0</v>
      </c>
      <c r="U547" s="117">
        <v>0</v>
      </c>
      <c r="V547" s="117">
        <v>0</v>
      </c>
      <c r="W547" s="117">
        <v>0</v>
      </c>
      <c r="X547" s="117">
        <v>318</v>
      </c>
      <c r="Y547" s="117">
        <v>0</v>
      </c>
      <c r="Z547" s="117">
        <v>0</v>
      </c>
      <c r="AA547" s="117">
        <v>0</v>
      </c>
      <c r="AB547" s="117">
        <v>0</v>
      </c>
      <c r="AC547" s="117">
        <v>0</v>
      </c>
    </row>
    <row r="548" spans="1:29" s="4" customFormat="1" ht="37.799999999999997" customHeight="1" x14ac:dyDescent="0.3">
      <c r="A548" s="111" t="s">
        <v>640</v>
      </c>
      <c r="B548" s="111" t="s">
        <v>641</v>
      </c>
      <c r="C548" s="112" t="s">
        <v>69</v>
      </c>
      <c r="D548" s="67" t="s">
        <v>70</v>
      </c>
      <c r="E548" s="113" t="s">
        <v>69</v>
      </c>
      <c r="F548" s="67" t="s">
        <v>71</v>
      </c>
      <c r="G548" s="125" t="s">
        <v>738</v>
      </c>
      <c r="H548" s="118" t="s">
        <v>558</v>
      </c>
      <c r="I548" s="121" t="s">
        <v>739</v>
      </c>
      <c r="J548" s="121" t="s">
        <v>740</v>
      </c>
      <c r="K548" s="91" t="s">
        <v>32</v>
      </c>
      <c r="L548" s="72" t="s">
        <v>32</v>
      </c>
      <c r="M548" s="125" t="s">
        <v>54</v>
      </c>
      <c r="N548" s="91">
        <v>4</v>
      </c>
      <c r="O548" s="91">
        <v>1264</v>
      </c>
      <c r="P548" s="117" t="s">
        <v>60</v>
      </c>
      <c r="Q548" s="117">
        <v>5056</v>
      </c>
      <c r="R548" s="117">
        <v>0</v>
      </c>
      <c r="S548" s="117">
        <v>0</v>
      </c>
      <c r="T548" s="117">
        <v>0</v>
      </c>
      <c r="U548" s="117">
        <v>0</v>
      </c>
      <c r="V548" s="117">
        <v>0</v>
      </c>
      <c r="W548" s="117">
        <v>0</v>
      </c>
      <c r="X548" s="117">
        <v>5056</v>
      </c>
      <c r="Y548" s="117">
        <v>0</v>
      </c>
      <c r="Z548" s="117">
        <v>0</v>
      </c>
      <c r="AA548" s="117">
        <v>0</v>
      </c>
      <c r="AB548" s="117">
        <v>0</v>
      </c>
      <c r="AC548" s="117">
        <v>0</v>
      </c>
    </row>
    <row r="549" spans="1:29" s="4" customFormat="1" ht="32.4" customHeight="1" x14ac:dyDescent="0.3">
      <c r="A549" s="111" t="s">
        <v>640</v>
      </c>
      <c r="B549" s="111" t="s">
        <v>641</v>
      </c>
      <c r="C549" s="112" t="s">
        <v>69</v>
      </c>
      <c r="D549" s="67" t="s">
        <v>70</v>
      </c>
      <c r="E549" s="113" t="s">
        <v>69</v>
      </c>
      <c r="F549" s="67" t="s">
        <v>71</v>
      </c>
      <c r="G549" s="125">
        <v>31401</v>
      </c>
      <c r="H549" s="127" t="s">
        <v>741</v>
      </c>
      <c r="I549" s="128"/>
      <c r="J549" s="129" t="s">
        <v>742</v>
      </c>
      <c r="K549" s="91" t="s">
        <v>32</v>
      </c>
      <c r="L549" s="72" t="s">
        <v>32</v>
      </c>
      <c r="M549" s="124" t="s">
        <v>68</v>
      </c>
      <c r="N549" s="91">
        <v>12</v>
      </c>
      <c r="O549" s="91">
        <v>2526</v>
      </c>
      <c r="P549" s="117" t="s">
        <v>60</v>
      </c>
      <c r="Q549" s="117">
        <v>30312</v>
      </c>
      <c r="R549" s="117">
        <v>2526</v>
      </c>
      <c r="S549" s="117">
        <v>2526</v>
      </c>
      <c r="T549" s="117">
        <v>2526</v>
      </c>
      <c r="U549" s="117">
        <v>2526</v>
      </c>
      <c r="V549" s="117">
        <v>2526</v>
      </c>
      <c r="W549" s="117">
        <v>2526</v>
      </c>
      <c r="X549" s="117">
        <v>2526</v>
      </c>
      <c r="Y549" s="117">
        <v>2526</v>
      </c>
      <c r="Z549" s="117">
        <v>2526</v>
      </c>
      <c r="AA549" s="117">
        <v>2526</v>
      </c>
      <c r="AB549" s="117">
        <v>2526</v>
      </c>
      <c r="AC549" s="117">
        <v>2526</v>
      </c>
    </row>
    <row r="550" spans="1:29" s="4" customFormat="1" ht="30" customHeight="1" x14ac:dyDescent="0.3">
      <c r="A550" s="111" t="s">
        <v>640</v>
      </c>
      <c r="B550" s="111" t="s">
        <v>641</v>
      </c>
      <c r="C550" s="112" t="s">
        <v>69</v>
      </c>
      <c r="D550" s="67" t="s">
        <v>70</v>
      </c>
      <c r="E550" s="113" t="s">
        <v>69</v>
      </c>
      <c r="F550" s="67" t="s">
        <v>71</v>
      </c>
      <c r="G550" s="67">
        <v>32601</v>
      </c>
      <c r="H550" s="130" t="s">
        <v>496</v>
      </c>
      <c r="I550" s="128"/>
      <c r="J550" s="129" t="s">
        <v>743</v>
      </c>
      <c r="K550" s="117" t="s">
        <v>89</v>
      </c>
      <c r="L550" s="72" t="s">
        <v>90</v>
      </c>
      <c r="M550" s="124" t="s">
        <v>68</v>
      </c>
      <c r="N550" s="91">
        <v>12</v>
      </c>
      <c r="O550" s="91">
        <v>2526</v>
      </c>
      <c r="P550" s="117" t="s">
        <v>88</v>
      </c>
      <c r="Q550" s="117">
        <v>30312</v>
      </c>
      <c r="R550" s="117">
        <v>0</v>
      </c>
      <c r="S550" s="117">
        <v>2500</v>
      </c>
      <c r="T550" s="117">
        <v>2552</v>
      </c>
      <c r="U550" s="117">
        <v>2500</v>
      </c>
      <c r="V550" s="117">
        <v>2552</v>
      </c>
      <c r="W550" s="117">
        <v>2500</v>
      </c>
      <c r="X550" s="117">
        <v>2552</v>
      </c>
      <c r="Y550" s="117">
        <v>2500</v>
      </c>
      <c r="Z550" s="117">
        <v>2552</v>
      </c>
      <c r="AA550" s="117">
        <v>2500</v>
      </c>
      <c r="AB550" s="117">
        <v>2552</v>
      </c>
      <c r="AC550" s="117">
        <v>5052</v>
      </c>
    </row>
    <row r="551" spans="1:29" s="4" customFormat="1" ht="37.799999999999997" customHeight="1" x14ac:dyDescent="0.3">
      <c r="A551" s="111" t="s">
        <v>640</v>
      </c>
      <c r="B551" s="111" t="s">
        <v>641</v>
      </c>
      <c r="C551" s="112" t="s">
        <v>69</v>
      </c>
      <c r="D551" s="67" t="s">
        <v>70</v>
      </c>
      <c r="E551" s="113" t="s">
        <v>69</v>
      </c>
      <c r="F551" s="67" t="s">
        <v>71</v>
      </c>
      <c r="G551" s="67">
        <v>33901</v>
      </c>
      <c r="H551" s="130" t="s">
        <v>744</v>
      </c>
      <c r="I551" s="128"/>
      <c r="J551" s="129" t="s">
        <v>745</v>
      </c>
      <c r="K551" s="117" t="s">
        <v>91</v>
      </c>
      <c r="L551" s="72" t="s">
        <v>90</v>
      </c>
      <c r="M551" s="124" t="s">
        <v>68</v>
      </c>
      <c r="N551" s="91">
        <v>4</v>
      </c>
      <c r="O551" s="91">
        <v>200</v>
      </c>
      <c r="P551" s="117" t="s">
        <v>60</v>
      </c>
      <c r="Q551" s="117">
        <v>800</v>
      </c>
      <c r="R551" s="117">
        <v>0</v>
      </c>
      <c r="S551" s="117">
        <v>200</v>
      </c>
      <c r="T551" s="117">
        <v>0</v>
      </c>
      <c r="U551" s="117">
        <v>0</v>
      </c>
      <c r="V551" s="117">
        <v>200</v>
      </c>
      <c r="W551" s="117">
        <v>0</v>
      </c>
      <c r="X551" s="117">
        <v>0</v>
      </c>
      <c r="Y551" s="117">
        <v>200</v>
      </c>
      <c r="Z551" s="117">
        <v>0</v>
      </c>
      <c r="AA551" s="117">
        <v>0</v>
      </c>
      <c r="AB551" s="117">
        <v>200</v>
      </c>
      <c r="AC551" s="117">
        <v>0</v>
      </c>
    </row>
    <row r="552" spans="1:29" s="4" customFormat="1" ht="42" customHeight="1" x14ac:dyDescent="0.3">
      <c r="A552" s="111" t="s">
        <v>640</v>
      </c>
      <c r="B552" s="111" t="s">
        <v>641</v>
      </c>
      <c r="C552" s="112" t="s">
        <v>69</v>
      </c>
      <c r="D552" s="67" t="s">
        <v>70</v>
      </c>
      <c r="E552" s="113" t="s">
        <v>69</v>
      </c>
      <c r="F552" s="67" t="s">
        <v>71</v>
      </c>
      <c r="G552" s="67">
        <v>35201</v>
      </c>
      <c r="H552" s="131" t="s">
        <v>746</v>
      </c>
      <c r="I552" s="128"/>
      <c r="J552" s="129" t="s">
        <v>747</v>
      </c>
      <c r="K552" s="91" t="s">
        <v>32</v>
      </c>
      <c r="L552" s="72" t="s">
        <v>32</v>
      </c>
      <c r="M552" s="124" t="s">
        <v>68</v>
      </c>
      <c r="N552" s="91">
        <v>2</v>
      </c>
      <c r="O552" s="91">
        <v>7150</v>
      </c>
      <c r="P552" s="117" t="s">
        <v>60</v>
      </c>
      <c r="Q552" s="117">
        <v>14300</v>
      </c>
      <c r="R552" s="117">
        <v>0</v>
      </c>
      <c r="S552" s="117">
        <v>6600</v>
      </c>
      <c r="T552" s="117">
        <v>7700</v>
      </c>
      <c r="U552" s="117">
        <v>0</v>
      </c>
      <c r="V552" s="117">
        <v>0</v>
      </c>
      <c r="W552" s="117">
        <v>0</v>
      </c>
      <c r="X552" s="117">
        <v>0</v>
      </c>
      <c r="Y552" s="117">
        <v>0</v>
      </c>
      <c r="Z552" s="117">
        <v>0</v>
      </c>
      <c r="AA552" s="117">
        <v>0</v>
      </c>
      <c r="AB552" s="117">
        <v>0</v>
      </c>
      <c r="AC552" s="117">
        <v>0</v>
      </c>
    </row>
    <row r="553" spans="1:29" s="4" customFormat="1" ht="37.799999999999997" customHeight="1" x14ac:dyDescent="0.3">
      <c r="A553" s="111" t="s">
        <v>640</v>
      </c>
      <c r="B553" s="111" t="s">
        <v>641</v>
      </c>
      <c r="C553" s="112" t="s">
        <v>69</v>
      </c>
      <c r="D553" s="67" t="s">
        <v>70</v>
      </c>
      <c r="E553" s="113" t="s">
        <v>69</v>
      </c>
      <c r="F553" s="67" t="s">
        <v>71</v>
      </c>
      <c r="G553" s="67">
        <v>35501</v>
      </c>
      <c r="H553" s="118" t="s">
        <v>748</v>
      </c>
      <c r="I553" s="128"/>
      <c r="J553" s="129" t="s">
        <v>749</v>
      </c>
      <c r="K553" s="91" t="s">
        <v>32</v>
      </c>
      <c r="L553" s="72" t="s">
        <v>32</v>
      </c>
      <c r="M553" s="124" t="s">
        <v>68</v>
      </c>
      <c r="N553" s="91">
        <v>3</v>
      </c>
      <c r="O553" s="91">
        <v>4000</v>
      </c>
      <c r="P553" s="117" t="s">
        <v>60</v>
      </c>
      <c r="Q553" s="117">
        <v>12000</v>
      </c>
      <c r="R553" s="117">
        <v>0</v>
      </c>
      <c r="S553" s="117">
        <v>4000</v>
      </c>
      <c r="T553" s="117">
        <v>0</v>
      </c>
      <c r="U553" s="117">
        <v>0</v>
      </c>
      <c r="V553" s="117">
        <v>8000</v>
      </c>
      <c r="W553" s="117">
        <v>0</v>
      </c>
      <c r="X553" s="117">
        <v>0</v>
      </c>
      <c r="Y553" s="117">
        <v>0</v>
      </c>
      <c r="Z553" s="117">
        <v>0</v>
      </c>
      <c r="AA553" s="117">
        <v>0</v>
      </c>
      <c r="AB553" s="117">
        <v>0</v>
      </c>
      <c r="AC553" s="117">
        <v>0</v>
      </c>
    </row>
    <row r="554" spans="1:29" s="4" customFormat="1" ht="47.4" customHeight="1" x14ac:dyDescent="0.3">
      <c r="A554" s="111" t="s">
        <v>640</v>
      </c>
      <c r="B554" s="111" t="s">
        <v>641</v>
      </c>
      <c r="C554" s="112" t="s">
        <v>69</v>
      </c>
      <c r="D554" s="67" t="s">
        <v>70</v>
      </c>
      <c r="E554" s="113" t="s">
        <v>69</v>
      </c>
      <c r="F554" s="67" t="s">
        <v>71</v>
      </c>
      <c r="G554" s="67">
        <v>35901</v>
      </c>
      <c r="H554" s="118" t="s">
        <v>750</v>
      </c>
      <c r="I554" s="128"/>
      <c r="J554" s="129" t="s">
        <v>751</v>
      </c>
      <c r="K554" s="91" t="s">
        <v>32</v>
      </c>
      <c r="L554" s="72" t="s">
        <v>32</v>
      </c>
      <c r="M554" s="124" t="s">
        <v>68</v>
      </c>
      <c r="N554" s="91">
        <v>2</v>
      </c>
      <c r="O554" s="91">
        <v>2320</v>
      </c>
      <c r="P554" s="117" t="s">
        <v>60</v>
      </c>
      <c r="Q554" s="117">
        <v>4640</v>
      </c>
      <c r="R554" s="117">
        <v>0</v>
      </c>
      <c r="S554" s="117">
        <v>0</v>
      </c>
      <c r="T554" s="117">
        <v>0</v>
      </c>
      <c r="U554" s="117">
        <v>0</v>
      </c>
      <c r="V554" s="117">
        <v>2320</v>
      </c>
      <c r="W554" s="117">
        <v>0</v>
      </c>
      <c r="X554" s="117">
        <v>0</v>
      </c>
      <c r="Y554" s="117">
        <v>0</v>
      </c>
      <c r="Z554" s="117">
        <v>0</v>
      </c>
      <c r="AA554" s="117">
        <v>0</v>
      </c>
      <c r="AB554" s="117">
        <v>2320</v>
      </c>
      <c r="AC554" s="117">
        <v>0</v>
      </c>
    </row>
    <row r="555" spans="1:29" s="4" customFormat="1" ht="30" customHeight="1" x14ac:dyDescent="0.3">
      <c r="A555" s="111" t="s">
        <v>640</v>
      </c>
      <c r="B555" s="111" t="s">
        <v>641</v>
      </c>
      <c r="C555" s="112" t="s">
        <v>69</v>
      </c>
      <c r="D555" s="67" t="s">
        <v>70</v>
      </c>
      <c r="E555" s="113" t="s">
        <v>69</v>
      </c>
      <c r="F555" s="67" t="s">
        <v>71</v>
      </c>
      <c r="G555" s="67">
        <v>39202</v>
      </c>
      <c r="H555" s="118" t="s">
        <v>752</v>
      </c>
      <c r="I555" s="128"/>
      <c r="J555" s="129" t="s">
        <v>753</v>
      </c>
      <c r="K555" s="91" t="s">
        <v>32</v>
      </c>
      <c r="L555" s="72" t="s">
        <v>32</v>
      </c>
      <c r="M555" s="124" t="s">
        <v>68</v>
      </c>
      <c r="N555" s="91">
        <v>1</v>
      </c>
      <c r="O555" s="91">
        <v>11750</v>
      </c>
      <c r="P555" s="117" t="s">
        <v>60</v>
      </c>
      <c r="Q555" s="117">
        <v>11750</v>
      </c>
      <c r="R555" s="117">
        <v>473</v>
      </c>
      <c r="S555" s="117">
        <v>3173</v>
      </c>
      <c r="T555" s="117">
        <v>473</v>
      </c>
      <c r="U555" s="117">
        <v>473</v>
      </c>
      <c r="V555" s="117">
        <v>1917</v>
      </c>
      <c r="W555" s="117">
        <v>473</v>
      </c>
      <c r="X555" s="117">
        <v>1195</v>
      </c>
      <c r="Y555" s="117">
        <v>473</v>
      </c>
      <c r="Z555" s="117">
        <v>473</v>
      </c>
      <c r="AA555" s="117">
        <v>473</v>
      </c>
      <c r="AB555" s="117">
        <v>1917</v>
      </c>
      <c r="AC555" s="117">
        <v>237</v>
      </c>
    </row>
    <row r="556" spans="1:29" s="4" customFormat="1" ht="30" customHeight="1" x14ac:dyDescent="0.3">
      <c r="A556" s="111" t="s">
        <v>640</v>
      </c>
      <c r="B556" s="132" t="s">
        <v>641</v>
      </c>
      <c r="C556" s="112" t="s">
        <v>69</v>
      </c>
      <c r="D556" s="67" t="s">
        <v>70</v>
      </c>
      <c r="E556" s="113" t="s">
        <v>69</v>
      </c>
      <c r="F556" s="133" t="s">
        <v>72</v>
      </c>
      <c r="G556" s="72">
        <v>32201</v>
      </c>
      <c r="H556" s="134" t="s">
        <v>754</v>
      </c>
      <c r="I556" s="128"/>
      <c r="J556" s="129" t="s">
        <v>755</v>
      </c>
      <c r="K556" s="135" t="s">
        <v>95</v>
      </c>
      <c r="L556" s="72" t="s">
        <v>92</v>
      </c>
      <c r="M556" s="124" t="s">
        <v>73</v>
      </c>
      <c r="N556" s="91">
        <v>1</v>
      </c>
      <c r="O556" s="91">
        <v>1251577</v>
      </c>
      <c r="P556" s="117" t="s">
        <v>60</v>
      </c>
      <c r="Q556" s="117">
        <v>1251577</v>
      </c>
      <c r="R556" s="117">
        <v>0</v>
      </c>
      <c r="S556" s="117">
        <v>104298</v>
      </c>
      <c r="T556" s="117">
        <v>104298</v>
      </c>
      <c r="U556" s="117">
        <v>104298</v>
      </c>
      <c r="V556" s="117">
        <v>104298</v>
      </c>
      <c r="W556" s="117">
        <v>104298</v>
      </c>
      <c r="X556" s="117">
        <v>104298</v>
      </c>
      <c r="Y556" s="117">
        <v>104298</v>
      </c>
      <c r="Z556" s="117">
        <v>104298</v>
      </c>
      <c r="AA556" s="117">
        <v>104298</v>
      </c>
      <c r="AB556" s="117">
        <v>104298</v>
      </c>
      <c r="AC556" s="117">
        <v>208597</v>
      </c>
    </row>
    <row r="557" spans="1:29" s="4" customFormat="1" ht="42" customHeight="1" x14ac:dyDescent="0.3">
      <c r="A557" s="111" t="s">
        <v>640</v>
      </c>
      <c r="B557" s="132" t="s">
        <v>641</v>
      </c>
      <c r="C557" s="112" t="s">
        <v>69</v>
      </c>
      <c r="D557" s="67" t="s">
        <v>70</v>
      </c>
      <c r="E557" s="113" t="s">
        <v>69</v>
      </c>
      <c r="F557" s="133" t="s">
        <v>72</v>
      </c>
      <c r="G557" s="72">
        <v>33801</v>
      </c>
      <c r="H557" s="136" t="s">
        <v>756</v>
      </c>
      <c r="I557" s="128"/>
      <c r="J557" s="129" t="s">
        <v>757</v>
      </c>
      <c r="K557" s="117" t="s">
        <v>93</v>
      </c>
      <c r="L557" s="72" t="s">
        <v>90</v>
      </c>
      <c r="M557" s="124" t="s">
        <v>68</v>
      </c>
      <c r="N557" s="91">
        <v>1</v>
      </c>
      <c r="O557" s="91">
        <v>443737</v>
      </c>
      <c r="P557" s="117" t="s">
        <v>88</v>
      </c>
      <c r="Q557" s="117">
        <v>443737</v>
      </c>
      <c r="R557" s="117">
        <v>0</v>
      </c>
      <c r="S557" s="117">
        <v>36979</v>
      </c>
      <c r="T557" s="117">
        <v>36978</v>
      </c>
      <c r="U557" s="117">
        <v>36978</v>
      </c>
      <c r="V557" s="117">
        <v>36978</v>
      </c>
      <c r="W557" s="117">
        <v>36978</v>
      </c>
      <c r="X557" s="117">
        <v>36978</v>
      </c>
      <c r="Y557" s="117">
        <v>36978</v>
      </c>
      <c r="Z557" s="117">
        <v>36978</v>
      </c>
      <c r="AA557" s="117">
        <v>36978</v>
      </c>
      <c r="AB557" s="117">
        <v>36978</v>
      </c>
      <c r="AC557" s="117">
        <v>73956</v>
      </c>
    </row>
    <row r="558" spans="1:29" s="4" customFormat="1" ht="42" customHeight="1" x14ac:dyDescent="0.3">
      <c r="A558" s="111" t="s">
        <v>640</v>
      </c>
      <c r="B558" s="132" t="s">
        <v>641</v>
      </c>
      <c r="C558" s="112" t="s">
        <v>69</v>
      </c>
      <c r="D558" s="67" t="s">
        <v>70</v>
      </c>
      <c r="E558" s="113" t="s">
        <v>69</v>
      </c>
      <c r="F558" s="133" t="s">
        <v>72</v>
      </c>
      <c r="G558" s="72">
        <v>35801</v>
      </c>
      <c r="H558" s="136" t="s">
        <v>758</v>
      </c>
      <c r="I558" s="128"/>
      <c r="J558" s="129" t="s">
        <v>759</v>
      </c>
      <c r="K558" s="117" t="s">
        <v>94</v>
      </c>
      <c r="L558" s="72" t="s">
        <v>90</v>
      </c>
      <c r="M558" s="124" t="s">
        <v>68</v>
      </c>
      <c r="N558" s="91">
        <v>1</v>
      </c>
      <c r="O558" s="91">
        <v>249654</v>
      </c>
      <c r="P558" s="117" t="s">
        <v>88</v>
      </c>
      <c r="Q558" s="117">
        <v>249654</v>
      </c>
      <c r="R558" s="117">
        <v>0</v>
      </c>
      <c r="S558" s="117">
        <v>20805</v>
      </c>
      <c r="T558" s="117">
        <v>20805</v>
      </c>
      <c r="U558" s="117">
        <v>20805</v>
      </c>
      <c r="V558" s="117">
        <v>20805</v>
      </c>
      <c r="W558" s="117">
        <v>20805</v>
      </c>
      <c r="X558" s="117">
        <v>20805</v>
      </c>
      <c r="Y558" s="117">
        <v>20805</v>
      </c>
      <c r="Z558" s="117">
        <v>20805</v>
      </c>
      <c r="AA558" s="117">
        <v>20805</v>
      </c>
      <c r="AB558" s="117">
        <v>20805</v>
      </c>
      <c r="AC558" s="117">
        <v>41604</v>
      </c>
    </row>
    <row r="559" spans="1:29" s="4" customFormat="1" ht="30" customHeight="1" x14ac:dyDescent="0.3">
      <c r="A559" s="111" t="s">
        <v>640</v>
      </c>
      <c r="B559" s="111" t="s">
        <v>641</v>
      </c>
      <c r="C559" s="112" t="s">
        <v>69</v>
      </c>
      <c r="D559" s="67" t="s">
        <v>70</v>
      </c>
      <c r="E559" s="113" t="s">
        <v>69</v>
      </c>
      <c r="F559" s="67" t="s">
        <v>444</v>
      </c>
      <c r="G559" s="88">
        <v>21601</v>
      </c>
      <c r="H559" s="118" t="s">
        <v>661</v>
      </c>
      <c r="I559" s="121" t="s">
        <v>760</v>
      </c>
      <c r="J559" s="121" t="s">
        <v>761</v>
      </c>
      <c r="K559" s="91" t="s">
        <v>32</v>
      </c>
      <c r="L559" s="77" t="s">
        <v>32</v>
      </c>
      <c r="M559" s="77" t="s">
        <v>54</v>
      </c>
      <c r="N559" s="91">
        <v>24</v>
      </c>
      <c r="O559" s="77">
        <v>49</v>
      </c>
      <c r="P559" s="117" t="s">
        <v>60</v>
      </c>
      <c r="Q559" s="137">
        <v>1176</v>
      </c>
      <c r="R559" s="117">
        <v>0</v>
      </c>
      <c r="S559" s="117">
        <v>294</v>
      </c>
      <c r="T559" s="117">
        <v>0</v>
      </c>
      <c r="U559" s="117">
        <v>0</v>
      </c>
      <c r="V559" s="117">
        <v>294</v>
      </c>
      <c r="W559" s="117">
        <v>0</v>
      </c>
      <c r="X559" s="117">
        <v>0</v>
      </c>
      <c r="Y559" s="117">
        <v>294</v>
      </c>
      <c r="Z559" s="117">
        <v>0</v>
      </c>
      <c r="AA559" s="117">
        <v>0</v>
      </c>
      <c r="AB559" s="117">
        <v>294</v>
      </c>
      <c r="AC559" s="117">
        <v>0</v>
      </c>
    </row>
    <row r="560" spans="1:29" s="4" customFormat="1" ht="30" customHeight="1" x14ac:dyDescent="0.3">
      <c r="A560" s="111" t="s">
        <v>640</v>
      </c>
      <c r="B560" s="111" t="s">
        <v>641</v>
      </c>
      <c r="C560" s="112" t="s">
        <v>69</v>
      </c>
      <c r="D560" s="67" t="s">
        <v>70</v>
      </c>
      <c r="E560" s="113" t="s">
        <v>69</v>
      </c>
      <c r="F560" s="67" t="s">
        <v>444</v>
      </c>
      <c r="G560" s="88">
        <v>21601</v>
      </c>
      <c r="H560" s="118" t="s">
        <v>661</v>
      </c>
      <c r="I560" s="100" t="s">
        <v>762</v>
      </c>
      <c r="J560" s="118" t="s">
        <v>763</v>
      </c>
      <c r="K560" s="91"/>
      <c r="L560" s="72" t="s">
        <v>32</v>
      </c>
      <c r="M560" s="67" t="s">
        <v>54</v>
      </c>
      <c r="N560" s="91">
        <v>6</v>
      </c>
      <c r="O560" s="67">
        <v>35</v>
      </c>
      <c r="P560" s="117" t="s">
        <v>60</v>
      </c>
      <c r="Q560" s="137">
        <v>210</v>
      </c>
      <c r="R560" s="117">
        <v>0</v>
      </c>
      <c r="S560" s="117">
        <v>105</v>
      </c>
      <c r="T560" s="117">
        <v>0</v>
      </c>
      <c r="U560" s="117">
        <v>0</v>
      </c>
      <c r="V560" s="117">
        <v>0</v>
      </c>
      <c r="W560" s="117">
        <v>0</v>
      </c>
      <c r="X560" s="117">
        <v>0</v>
      </c>
      <c r="Y560" s="117">
        <v>105</v>
      </c>
      <c r="Z560" s="117">
        <v>0</v>
      </c>
      <c r="AA560" s="117">
        <v>0</v>
      </c>
      <c r="AB560" s="117">
        <v>0</v>
      </c>
      <c r="AC560" s="117">
        <v>0</v>
      </c>
    </row>
    <row r="561" spans="1:29" s="4" customFormat="1" ht="30" customHeight="1" x14ac:dyDescent="0.3">
      <c r="A561" s="111" t="s">
        <v>640</v>
      </c>
      <c r="B561" s="111" t="s">
        <v>641</v>
      </c>
      <c r="C561" s="112" t="s">
        <v>69</v>
      </c>
      <c r="D561" s="67" t="s">
        <v>70</v>
      </c>
      <c r="E561" s="113" t="s">
        <v>69</v>
      </c>
      <c r="F561" s="67" t="s">
        <v>444</v>
      </c>
      <c r="G561" s="88">
        <v>21601</v>
      </c>
      <c r="H561" s="118" t="s">
        <v>661</v>
      </c>
      <c r="I561" s="100" t="s">
        <v>764</v>
      </c>
      <c r="J561" s="100" t="s">
        <v>765</v>
      </c>
      <c r="K561" s="75" t="s">
        <v>32</v>
      </c>
      <c r="L561" s="72" t="s">
        <v>32</v>
      </c>
      <c r="M561" s="67" t="s">
        <v>61</v>
      </c>
      <c r="N561" s="91">
        <v>36</v>
      </c>
      <c r="O561" s="67">
        <v>168</v>
      </c>
      <c r="P561" s="117" t="s">
        <v>60</v>
      </c>
      <c r="Q561" s="137">
        <v>6048</v>
      </c>
      <c r="R561" s="117">
        <v>0</v>
      </c>
      <c r="S561" s="117">
        <v>1512</v>
      </c>
      <c r="T561" s="117">
        <v>0</v>
      </c>
      <c r="U561" s="117">
        <v>0</v>
      </c>
      <c r="V561" s="117">
        <v>1512</v>
      </c>
      <c r="W561" s="117">
        <v>0</v>
      </c>
      <c r="X561" s="117">
        <v>0</v>
      </c>
      <c r="Y561" s="117">
        <v>1512</v>
      </c>
      <c r="Z561" s="117">
        <v>0</v>
      </c>
      <c r="AA561" s="117">
        <v>0</v>
      </c>
      <c r="AB561" s="117">
        <v>1512</v>
      </c>
      <c r="AC561" s="117">
        <v>0</v>
      </c>
    </row>
    <row r="562" spans="1:29" s="4" customFormat="1" ht="30" customHeight="1" x14ac:dyDescent="0.3">
      <c r="A562" s="111" t="s">
        <v>640</v>
      </c>
      <c r="B562" s="111" t="s">
        <v>641</v>
      </c>
      <c r="C562" s="112" t="s">
        <v>69</v>
      </c>
      <c r="D562" s="67" t="s">
        <v>70</v>
      </c>
      <c r="E562" s="113" t="s">
        <v>69</v>
      </c>
      <c r="F562" s="67" t="s">
        <v>444</v>
      </c>
      <c r="G562" s="88">
        <v>21601</v>
      </c>
      <c r="H562" s="118" t="s">
        <v>661</v>
      </c>
      <c r="I562" s="100" t="s">
        <v>766</v>
      </c>
      <c r="J562" s="100" t="s">
        <v>767</v>
      </c>
      <c r="K562" s="91" t="s">
        <v>32</v>
      </c>
      <c r="L562" s="72" t="s">
        <v>32</v>
      </c>
      <c r="M562" s="67" t="s">
        <v>61</v>
      </c>
      <c r="N562" s="91">
        <v>60</v>
      </c>
      <c r="O562" s="67">
        <v>288</v>
      </c>
      <c r="P562" s="117" t="s">
        <v>60</v>
      </c>
      <c r="Q562" s="137">
        <v>17280</v>
      </c>
      <c r="R562" s="117">
        <v>0</v>
      </c>
      <c r="S562" s="117">
        <v>4320</v>
      </c>
      <c r="T562" s="117">
        <v>0</v>
      </c>
      <c r="U562" s="117">
        <v>0</v>
      </c>
      <c r="V562" s="117">
        <v>4320</v>
      </c>
      <c r="W562" s="117">
        <v>0</v>
      </c>
      <c r="X562" s="117">
        <v>0</v>
      </c>
      <c r="Y562" s="117">
        <v>4320</v>
      </c>
      <c r="Z562" s="117">
        <v>0</v>
      </c>
      <c r="AA562" s="117">
        <v>0</v>
      </c>
      <c r="AB562" s="117">
        <v>4320</v>
      </c>
      <c r="AC562" s="117">
        <v>0</v>
      </c>
    </row>
    <row r="563" spans="1:29" s="4" customFormat="1" ht="30" customHeight="1" x14ac:dyDescent="0.3">
      <c r="A563" s="111" t="s">
        <v>640</v>
      </c>
      <c r="B563" s="111" t="s">
        <v>641</v>
      </c>
      <c r="C563" s="112" t="s">
        <v>69</v>
      </c>
      <c r="D563" s="67" t="s">
        <v>70</v>
      </c>
      <c r="E563" s="113" t="s">
        <v>69</v>
      </c>
      <c r="F563" s="67" t="s">
        <v>444</v>
      </c>
      <c r="G563" s="88">
        <v>21601</v>
      </c>
      <c r="H563" s="118" t="s">
        <v>661</v>
      </c>
      <c r="I563" s="100" t="s">
        <v>768</v>
      </c>
      <c r="J563" s="100" t="s">
        <v>769</v>
      </c>
      <c r="K563" s="91" t="s">
        <v>32</v>
      </c>
      <c r="L563" s="72" t="s">
        <v>32</v>
      </c>
      <c r="M563" s="67" t="s">
        <v>62</v>
      </c>
      <c r="N563" s="91">
        <v>108</v>
      </c>
      <c r="O563" s="67">
        <v>37</v>
      </c>
      <c r="P563" s="117" t="s">
        <v>60</v>
      </c>
      <c r="Q563" s="137">
        <v>3996</v>
      </c>
      <c r="R563" s="117">
        <v>0</v>
      </c>
      <c r="S563" s="117">
        <v>999</v>
      </c>
      <c r="T563" s="117">
        <v>0</v>
      </c>
      <c r="U563" s="117">
        <v>0</v>
      </c>
      <c r="V563" s="117">
        <v>999</v>
      </c>
      <c r="W563" s="117">
        <v>0</v>
      </c>
      <c r="X563" s="117">
        <v>0</v>
      </c>
      <c r="Y563" s="117">
        <v>999</v>
      </c>
      <c r="Z563" s="117">
        <v>0</v>
      </c>
      <c r="AA563" s="117">
        <v>0</v>
      </c>
      <c r="AB563" s="117">
        <v>999</v>
      </c>
      <c r="AC563" s="117">
        <v>0</v>
      </c>
    </row>
    <row r="564" spans="1:29" s="4" customFormat="1" ht="30" customHeight="1" x14ac:dyDescent="0.3">
      <c r="A564" s="111" t="s">
        <v>640</v>
      </c>
      <c r="B564" s="111" t="s">
        <v>641</v>
      </c>
      <c r="C564" s="112" t="s">
        <v>69</v>
      </c>
      <c r="D564" s="67" t="s">
        <v>70</v>
      </c>
      <c r="E564" s="113" t="s">
        <v>69</v>
      </c>
      <c r="F564" s="67" t="s">
        <v>444</v>
      </c>
      <c r="G564" s="88">
        <v>21601</v>
      </c>
      <c r="H564" s="118" t="s">
        <v>661</v>
      </c>
      <c r="I564" s="138" t="s">
        <v>770</v>
      </c>
      <c r="J564" s="139" t="s">
        <v>771</v>
      </c>
      <c r="K564" s="140" t="s">
        <v>32</v>
      </c>
      <c r="L564" s="141" t="s">
        <v>32</v>
      </c>
      <c r="M564" s="67" t="s">
        <v>54</v>
      </c>
      <c r="N564" s="91">
        <v>24</v>
      </c>
      <c r="O564" s="67">
        <v>130</v>
      </c>
      <c r="P564" s="117" t="s">
        <v>60</v>
      </c>
      <c r="Q564" s="137">
        <v>3120</v>
      </c>
      <c r="R564" s="117">
        <v>0</v>
      </c>
      <c r="S564" s="117">
        <v>780</v>
      </c>
      <c r="T564" s="117">
        <v>0</v>
      </c>
      <c r="U564" s="117">
        <v>0</v>
      </c>
      <c r="V564" s="117">
        <v>780</v>
      </c>
      <c r="W564" s="117">
        <v>0</v>
      </c>
      <c r="X564" s="117">
        <v>0</v>
      </c>
      <c r="Y564" s="117">
        <v>780</v>
      </c>
      <c r="Z564" s="117">
        <v>0</v>
      </c>
      <c r="AA564" s="117">
        <v>0</v>
      </c>
      <c r="AB564" s="117">
        <v>780</v>
      </c>
      <c r="AC564" s="117">
        <v>0</v>
      </c>
    </row>
    <row r="565" spans="1:29" s="4" customFormat="1" ht="30" customHeight="1" x14ac:dyDescent="0.3">
      <c r="A565" s="111" t="s">
        <v>640</v>
      </c>
      <c r="B565" s="111" t="s">
        <v>641</v>
      </c>
      <c r="C565" s="112" t="s">
        <v>69</v>
      </c>
      <c r="D565" s="67" t="s">
        <v>70</v>
      </c>
      <c r="E565" s="113" t="s">
        <v>69</v>
      </c>
      <c r="F565" s="67" t="s">
        <v>444</v>
      </c>
      <c r="G565" s="88">
        <v>21601</v>
      </c>
      <c r="H565" s="118" t="s">
        <v>661</v>
      </c>
      <c r="I565" s="100" t="s">
        <v>337</v>
      </c>
      <c r="J565" s="100" t="s">
        <v>542</v>
      </c>
      <c r="K565" s="91" t="s">
        <v>32</v>
      </c>
      <c r="L565" s="72" t="s">
        <v>32</v>
      </c>
      <c r="M565" s="67" t="s">
        <v>55</v>
      </c>
      <c r="N565" s="91">
        <v>18</v>
      </c>
      <c r="O565" s="67">
        <v>300</v>
      </c>
      <c r="P565" s="117" t="s">
        <v>60</v>
      </c>
      <c r="Q565" s="137">
        <v>5400</v>
      </c>
      <c r="R565" s="117">
        <v>0</v>
      </c>
      <c r="S565" s="117">
        <v>1500</v>
      </c>
      <c r="T565" s="117">
        <v>0</v>
      </c>
      <c r="U565" s="117">
        <v>0</v>
      </c>
      <c r="V565" s="117">
        <v>1200</v>
      </c>
      <c r="W565" s="117">
        <v>0</v>
      </c>
      <c r="X565" s="117">
        <v>0</v>
      </c>
      <c r="Y565" s="117">
        <v>1500</v>
      </c>
      <c r="Z565" s="117">
        <v>0</v>
      </c>
      <c r="AA565" s="117">
        <v>0</v>
      </c>
      <c r="AB565" s="117">
        <v>1200</v>
      </c>
      <c r="AC565" s="117">
        <v>0</v>
      </c>
    </row>
    <row r="566" spans="1:29" s="4" customFormat="1" ht="30" customHeight="1" x14ac:dyDescent="0.3">
      <c r="A566" s="111" t="s">
        <v>640</v>
      </c>
      <c r="B566" s="111" t="s">
        <v>641</v>
      </c>
      <c r="C566" s="112" t="s">
        <v>69</v>
      </c>
      <c r="D566" s="67" t="s">
        <v>70</v>
      </c>
      <c r="E566" s="113" t="s">
        <v>69</v>
      </c>
      <c r="F566" s="67" t="s">
        <v>444</v>
      </c>
      <c r="G566" s="88">
        <v>21601</v>
      </c>
      <c r="H566" s="118" t="s">
        <v>661</v>
      </c>
      <c r="I566" s="100" t="s">
        <v>772</v>
      </c>
      <c r="J566" s="100" t="s">
        <v>773</v>
      </c>
      <c r="K566" s="91" t="s">
        <v>32</v>
      </c>
      <c r="L566" s="72" t="s">
        <v>32</v>
      </c>
      <c r="M566" s="67" t="s">
        <v>54</v>
      </c>
      <c r="N566" s="91">
        <v>34</v>
      </c>
      <c r="O566" s="67">
        <v>20</v>
      </c>
      <c r="P566" s="117" t="s">
        <v>60</v>
      </c>
      <c r="Q566" s="137">
        <v>680</v>
      </c>
      <c r="R566" s="117">
        <v>0</v>
      </c>
      <c r="S566" s="117">
        <v>0</v>
      </c>
      <c r="T566" s="117">
        <v>0</v>
      </c>
      <c r="U566" s="117">
        <v>0</v>
      </c>
      <c r="V566" s="117">
        <v>340</v>
      </c>
      <c r="W566" s="117">
        <v>0</v>
      </c>
      <c r="X566" s="117">
        <v>0</v>
      </c>
      <c r="Y566" s="117">
        <v>0</v>
      </c>
      <c r="Z566" s="117">
        <v>0</v>
      </c>
      <c r="AA566" s="117">
        <v>0</v>
      </c>
      <c r="AB566" s="117">
        <v>340</v>
      </c>
      <c r="AC566" s="117">
        <v>0</v>
      </c>
    </row>
    <row r="567" spans="1:29" s="4" customFormat="1" ht="30" customHeight="1" x14ac:dyDescent="0.3">
      <c r="A567" s="111" t="s">
        <v>640</v>
      </c>
      <c r="B567" s="111" t="s">
        <v>641</v>
      </c>
      <c r="C567" s="112" t="s">
        <v>69</v>
      </c>
      <c r="D567" s="67" t="s">
        <v>70</v>
      </c>
      <c r="E567" s="113" t="s">
        <v>69</v>
      </c>
      <c r="F567" s="67" t="s">
        <v>444</v>
      </c>
      <c r="G567" s="88">
        <v>21601</v>
      </c>
      <c r="H567" s="118" t="s">
        <v>661</v>
      </c>
      <c r="I567" s="7" t="s">
        <v>774</v>
      </c>
      <c r="J567" s="7" t="s">
        <v>775</v>
      </c>
      <c r="K567" s="7" t="s">
        <v>32</v>
      </c>
      <c r="L567" s="7" t="s">
        <v>32</v>
      </c>
      <c r="M567" s="7" t="s">
        <v>56</v>
      </c>
      <c r="N567" s="7">
        <v>34</v>
      </c>
      <c r="O567" s="7">
        <v>18.239999999999998</v>
      </c>
      <c r="P567" s="7" t="s">
        <v>60</v>
      </c>
      <c r="Q567" s="142">
        <v>620</v>
      </c>
      <c r="R567" s="117">
        <v>0</v>
      </c>
      <c r="S567" s="117">
        <v>0</v>
      </c>
      <c r="T567" s="117">
        <v>0</v>
      </c>
      <c r="U567" s="117">
        <v>0</v>
      </c>
      <c r="V567" s="117">
        <v>310</v>
      </c>
      <c r="W567" s="117">
        <v>0</v>
      </c>
      <c r="X567" s="117">
        <v>0</v>
      </c>
      <c r="Y567" s="117">
        <v>0</v>
      </c>
      <c r="Z567" s="117">
        <v>0</v>
      </c>
      <c r="AA567" s="117">
        <v>0</v>
      </c>
      <c r="AB567" s="117">
        <v>310</v>
      </c>
      <c r="AC567" s="117">
        <v>0</v>
      </c>
    </row>
    <row r="568" spans="1:29" s="4" customFormat="1" ht="30" customHeight="1" x14ac:dyDescent="0.3">
      <c r="A568" s="111" t="s">
        <v>640</v>
      </c>
      <c r="B568" s="111" t="s">
        <v>641</v>
      </c>
      <c r="C568" s="112" t="s">
        <v>69</v>
      </c>
      <c r="D568" s="67" t="s">
        <v>70</v>
      </c>
      <c r="E568" s="113" t="s">
        <v>69</v>
      </c>
      <c r="F568" s="67" t="s">
        <v>444</v>
      </c>
      <c r="G568" s="88">
        <v>21601</v>
      </c>
      <c r="H568" s="118" t="s">
        <v>661</v>
      </c>
      <c r="I568" s="7" t="s">
        <v>350</v>
      </c>
      <c r="J568" s="7" t="s">
        <v>445</v>
      </c>
      <c r="K568" s="7" t="s">
        <v>32</v>
      </c>
      <c r="L568" s="7" t="s">
        <v>32</v>
      </c>
      <c r="M568" s="7" t="s">
        <v>56</v>
      </c>
      <c r="N568" s="7">
        <v>64</v>
      </c>
      <c r="O568" s="7">
        <v>64</v>
      </c>
      <c r="P568" s="7" t="s">
        <v>60</v>
      </c>
      <c r="Q568" s="142">
        <v>4096</v>
      </c>
      <c r="R568" s="117">
        <v>0</v>
      </c>
      <c r="S568" s="117">
        <v>0</v>
      </c>
      <c r="T568" s="117">
        <v>0</v>
      </c>
      <c r="U568" s="117">
        <v>0</v>
      </c>
      <c r="V568" s="117">
        <v>2048</v>
      </c>
      <c r="W568" s="117">
        <v>0</v>
      </c>
      <c r="X568" s="117">
        <v>0</v>
      </c>
      <c r="Y568" s="117">
        <v>0</v>
      </c>
      <c r="Z568" s="117">
        <v>0</v>
      </c>
      <c r="AA568" s="117">
        <v>0</v>
      </c>
      <c r="AB568" s="117">
        <v>2048</v>
      </c>
      <c r="AC568" s="117">
        <v>0</v>
      </c>
    </row>
    <row r="569" spans="1:29" s="4" customFormat="1" ht="30" customHeight="1" x14ac:dyDescent="0.3">
      <c r="A569" s="111" t="s">
        <v>640</v>
      </c>
      <c r="B569" s="111" t="s">
        <v>641</v>
      </c>
      <c r="C569" s="112" t="s">
        <v>69</v>
      </c>
      <c r="D569" s="67" t="s">
        <v>70</v>
      </c>
      <c r="E569" s="113" t="s">
        <v>69</v>
      </c>
      <c r="F569" s="67" t="s">
        <v>444</v>
      </c>
      <c r="G569" s="88">
        <v>21601</v>
      </c>
      <c r="H569" s="118" t="s">
        <v>661</v>
      </c>
      <c r="I569" s="100" t="s">
        <v>776</v>
      </c>
      <c r="J569" s="100" t="s">
        <v>777</v>
      </c>
      <c r="K569" s="91" t="s">
        <v>32</v>
      </c>
      <c r="L569" s="72" t="s">
        <v>32</v>
      </c>
      <c r="M569" s="67" t="s">
        <v>54</v>
      </c>
      <c r="N569" s="91">
        <v>5</v>
      </c>
      <c r="O569" s="67">
        <v>45</v>
      </c>
      <c r="P569" s="117" t="s">
        <v>60</v>
      </c>
      <c r="Q569" s="137">
        <v>225</v>
      </c>
      <c r="R569" s="117">
        <v>0</v>
      </c>
      <c r="S569" s="117">
        <v>0</v>
      </c>
      <c r="T569" s="117">
        <v>0</v>
      </c>
      <c r="U569" s="117">
        <v>0</v>
      </c>
      <c r="V569" s="117">
        <v>225</v>
      </c>
      <c r="W569" s="117">
        <v>0</v>
      </c>
      <c r="X569" s="117">
        <v>0</v>
      </c>
      <c r="Y569" s="117">
        <v>0</v>
      </c>
      <c r="Z569" s="117">
        <v>0</v>
      </c>
      <c r="AA569" s="117">
        <v>0</v>
      </c>
      <c r="AB569" s="117">
        <v>0</v>
      </c>
      <c r="AC569" s="117">
        <v>0</v>
      </c>
    </row>
    <row r="570" spans="1:29" s="4" customFormat="1" ht="30" customHeight="1" x14ac:dyDescent="0.3">
      <c r="A570" s="111" t="s">
        <v>640</v>
      </c>
      <c r="B570" s="111" t="s">
        <v>641</v>
      </c>
      <c r="C570" s="112" t="s">
        <v>69</v>
      </c>
      <c r="D570" s="67" t="s">
        <v>70</v>
      </c>
      <c r="E570" s="113" t="s">
        <v>69</v>
      </c>
      <c r="F570" s="67" t="s">
        <v>444</v>
      </c>
      <c r="G570" s="88">
        <v>21601</v>
      </c>
      <c r="H570" s="118" t="s">
        <v>661</v>
      </c>
      <c r="I570" s="100" t="s">
        <v>778</v>
      </c>
      <c r="J570" s="100" t="s">
        <v>779</v>
      </c>
      <c r="K570" s="91" t="s">
        <v>32</v>
      </c>
      <c r="L570" s="72" t="s">
        <v>32</v>
      </c>
      <c r="M570" s="67" t="s">
        <v>54</v>
      </c>
      <c r="N570" s="91">
        <v>3</v>
      </c>
      <c r="O570" s="67">
        <v>663</v>
      </c>
      <c r="P570" s="117" t="s">
        <v>60</v>
      </c>
      <c r="Q570" s="137">
        <v>1989</v>
      </c>
      <c r="R570" s="117">
        <v>0</v>
      </c>
      <c r="S570" s="117">
        <v>0</v>
      </c>
      <c r="T570" s="117">
        <v>0</v>
      </c>
      <c r="U570" s="117">
        <v>0</v>
      </c>
      <c r="V570" s="117">
        <v>0</v>
      </c>
      <c r="W570" s="117">
        <v>0</v>
      </c>
      <c r="X570" s="117">
        <v>0</v>
      </c>
      <c r="Y570" s="117">
        <v>1989</v>
      </c>
      <c r="Z570" s="117">
        <v>0</v>
      </c>
      <c r="AA570" s="117">
        <v>0</v>
      </c>
      <c r="AB570" s="117">
        <v>0</v>
      </c>
      <c r="AC570" s="117">
        <v>0</v>
      </c>
    </row>
    <row r="571" spans="1:29" s="4" customFormat="1" ht="30" customHeight="1" x14ac:dyDescent="0.3">
      <c r="A571" s="111" t="s">
        <v>640</v>
      </c>
      <c r="B571" s="111" t="s">
        <v>641</v>
      </c>
      <c r="C571" s="112" t="s">
        <v>69</v>
      </c>
      <c r="D571" s="67" t="s">
        <v>70</v>
      </c>
      <c r="E571" s="113" t="s">
        <v>69</v>
      </c>
      <c r="F571" s="67" t="s">
        <v>444</v>
      </c>
      <c r="G571" s="88">
        <v>21601</v>
      </c>
      <c r="H571" s="118" t="s">
        <v>661</v>
      </c>
      <c r="I571" s="100" t="s">
        <v>345</v>
      </c>
      <c r="J571" s="100" t="s">
        <v>780</v>
      </c>
      <c r="K571" s="143" t="s">
        <v>32</v>
      </c>
      <c r="L571" s="72" t="s">
        <v>32</v>
      </c>
      <c r="M571" s="67" t="s">
        <v>63</v>
      </c>
      <c r="N571" s="91">
        <v>28</v>
      </c>
      <c r="O571" s="67">
        <v>20</v>
      </c>
      <c r="P571" s="117" t="s">
        <v>60</v>
      </c>
      <c r="Q571" s="137">
        <v>560</v>
      </c>
      <c r="R571" s="117">
        <v>0</v>
      </c>
      <c r="S571" s="117">
        <v>140</v>
      </c>
      <c r="T571" s="117">
        <v>0</v>
      </c>
      <c r="U571" s="117">
        <v>0</v>
      </c>
      <c r="V571" s="117">
        <v>140</v>
      </c>
      <c r="W571" s="117">
        <v>0</v>
      </c>
      <c r="X571" s="117">
        <v>0</v>
      </c>
      <c r="Y571" s="117">
        <v>140</v>
      </c>
      <c r="Z571" s="117">
        <v>0</v>
      </c>
      <c r="AA571" s="117">
        <v>0</v>
      </c>
      <c r="AB571" s="117">
        <v>140</v>
      </c>
      <c r="AC571" s="117">
        <v>0</v>
      </c>
    </row>
    <row r="572" spans="1:29" s="4" customFormat="1" ht="30" customHeight="1" x14ac:dyDescent="0.3">
      <c r="A572" s="111" t="s">
        <v>640</v>
      </c>
      <c r="B572" s="111" t="s">
        <v>641</v>
      </c>
      <c r="C572" s="112" t="s">
        <v>69</v>
      </c>
      <c r="D572" s="67" t="s">
        <v>70</v>
      </c>
      <c r="E572" s="113" t="s">
        <v>69</v>
      </c>
      <c r="F572" s="67" t="s">
        <v>444</v>
      </c>
      <c r="G572" s="88">
        <v>21601</v>
      </c>
      <c r="H572" s="118" t="s">
        <v>661</v>
      </c>
      <c r="I572" s="100" t="s">
        <v>781</v>
      </c>
      <c r="J572" s="100" t="s">
        <v>782</v>
      </c>
      <c r="K572" s="91" t="s">
        <v>32</v>
      </c>
      <c r="L572" s="72" t="s">
        <v>32</v>
      </c>
      <c r="M572" s="125" t="s">
        <v>54</v>
      </c>
      <c r="N572" s="91">
        <v>50</v>
      </c>
      <c r="O572" s="125">
        <v>24</v>
      </c>
      <c r="P572" s="117" t="s">
        <v>60</v>
      </c>
      <c r="Q572" s="137">
        <v>1200</v>
      </c>
      <c r="R572" s="117">
        <v>0</v>
      </c>
      <c r="S572" s="117">
        <v>0</v>
      </c>
      <c r="T572" s="117">
        <v>0</v>
      </c>
      <c r="U572" s="117">
        <v>0</v>
      </c>
      <c r="V572" s="117">
        <v>792</v>
      </c>
      <c r="W572" s="117">
        <v>0</v>
      </c>
      <c r="X572" s="117">
        <v>0</v>
      </c>
      <c r="Y572" s="117">
        <v>0</v>
      </c>
      <c r="Z572" s="117">
        <v>0</v>
      </c>
      <c r="AA572" s="117">
        <v>0</v>
      </c>
      <c r="AB572" s="117">
        <v>408</v>
      </c>
      <c r="AC572" s="117">
        <v>0</v>
      </c>
    </row>
    <row r="573" spans="1:29" s="4" customFormat="1" ht="30" customHeight="1" x14ac:dyDescent="0.3">
      <c r="A573" s="111" t="s">
        <v>640</v>
      </c>
      <c r="B573" s="111" t="s">
        <v>641</v>
      </c>
      <c r="C573" s="112" t="s">
        <v>69</v>
      </c>
      <c r="D573" s="67" t="s">
        <v>70</v>
      </c>
      <c r="E573" s="113" t="s">
        <v>69</v>
      </c>
      <c r="F573" s="67" t="s">
        <v>444</v>
      </c>
      <c r="G573" s="88">
        <v>25301</v>
      </c>
      <c r="H573" s="118" t="s">
        <v>702</v>
      </c>
      <c r="I573" s="100" t="s">
        <v>783</v>
      </c>
      <c r="J573" s="100" t="s">
        <v>784</v>
      </c>
      <c r="K573" s="91" t="s">
        <v>32</v>
      </c>
      <c r="L573" s="72" t="s">
        <v>32</v>
      </c>
      <c r="M573" s="67" t="s">
        <v>65</v>
      </c>
      <c r="N573" s="91">
        <v>8</v>
      </c>
      <c r="O573" s="91">
        <v>121</v>
      </c>
      <c r="P573" s="117" t="s">
        <v>60</v>
      </c>
      <c r="Q573" s="117">
        <v>968</v>
      </c>
      <c r="R573" s="117">
        <v>0</v>
      </c>
      <c r="S573" s="117">
        <v>242</v>
      </c>
      <c r="T573" s="117">
        <v>0</v>
      </c>
      <c r="U573" s="117">
        <v>0</v>
      </c>
      <c r="V573" s="117">
        <v>242</v>
      </c>
      <c r="W573" s="117">
        <v>0</v>
      </c>
      <c r="X573" s="117">
        <v>0</v>
      </c>
      <c r="Y573" s="117">
        <v>242</v>
      </c>
      <c r="Z573" s="117">
        <v>0</v>
      </c>
      <c r="AA573" s="117">
        <v>0</v>
      </c>
      <c r="AB573" s="117">
        <v>242</v>
      </c>
      <c r="AC573" s="117">
        <v>0</v>
      </c>
    </row>
    <row r="574" spans="1:29" s="4" customFormat="1" ht="30" customHeight="1" x14ac:dyDescent="0.3">
      <c r="A574" s="111" t="s">
        <v>640</v>
      </c>
      <c r="B574" s="111" t="s">
        <v>641</v>
      </c>
      <c r="C574" s="112" t="s">
        <v>69</v>
      </c>
      <c r="D574" s="67" t="s">
        <v>70</v>
      </c>
      <c r="E574" s="113" t="s">
        <v>69</v>
      </c>
      <c r="F574" s="67" t="s">
        <v>444</v>
      </c>
      <c r="G574" s="72">
        <v>25401</v>
      </c>
      <c r="H574" s="122" t="s">
        <v>785</v>
      </c>
      <c r="I574" s="123" t="s">
        <v>786</v>
      </c>
      <c r="J574" s="123" t="s">
        <v>787</v>
      </c>
      <c r="K574" s="91" t="s">
        <v>32</v>
      </c>
      <c r="L574" s="72" t="s">
        <v>32</v>
      </c>
      <c r="M574" s="124" t="s">
        <v>54</v>
      </c>
      <c r="N574" s="91">
        <v>2</v>
      </c>
      <c r="O574" s="91">
        <v>404</v>
      </c>
      <c r="P574" s="117" t="s">
        <v>60</v>
      </c>
      <c r="Q574" s="117">
        <v>808</v>
      </c>
      <c r="R574" s="117">
        <v>0</v>
      </c>
      <c r="S574" s="117">
        <v>808</v>
      </c>
      <c r="T574" s="117">
        <v>0</v>
      </c>
      <c r="U574" s="117">
        <v>0</v>
      </c>
      <c r="V574" s="117">
        <v>0</v>
      </c>
      <c r="W574" s="117">
        <v>0</v>
      </c>
      <c r="X574" s="117">
        <v>0</v>
      </c>
      <c r="Y574" s="117">
        <v>0</v>
      </c>
      <c r="Z574" s="117">
        <v>0</v>
      </c>
      <c r="AA574" s="117">
        <v>0</v>
      </c>
      <c r="AB574" s="117">
        <v>0</v>
      </c>
      <c r="AC574" s="117">
        <v>0</v>
      </c>
    </row>
    <row r="575" spans="1:29" s="4" customFormat="1" ht="30" customHeight="1" x14ac:dyDescent="0.3">
      <c r="A575" s="111" t="s">
        <v>640</v>
      </c>
      <c r="B575" s="111" t="s">
        <v>641</v>
      </c>
      <c r="C575" s="112" t="s">
        <v>69</v>
      </c>
      <c r="D575" s="67" t="s">
        <v>70</v>
      </c>
      <c r="E575" s="113" t="s">
        <v>69</v>
      </c>
      <c r="F575" s="67" t="s">
        <v>444</v>
      </c>
      <c r="G575" s="125">
        <v>25401</v>
      </c>
      <c r="H575" s="118" t="s">
        <v>485</v>
      </c>
      <c r="I575" s="121" t="s">
        <v>788</v>
      </c>
      <c r="J575" s="121" t="s">
        <v>789</v>
      </c>
      <c r="K575" s="91" t="s">
        <v>32</v>
      </c>
      <c r="L575" s="72" t="s">
        <v>32</v>
      </c>
      <c r="M575" s="125" t="s">
        <v>67</v>
      </c>
      <c r="N575" s="91">
        <v>50</v>
      </c>
      <c r="O575" s="91">
        <v>38</v>
      </c>
      <c r="P575" s="117" t="s">
        <v>60</v>
      </c>
      <c r="Q575" s="117">
        <v>1928</v>
      </c>
      <c r="R575" s="117">
        <v>0</v>
      </c>
      <c r="S575" s="117">
        <v>404</v>
      </c>
      <c r="T575" s="117">
        <v>0</v>
      </c>
      <c r="U575" s="117">
        <v>0</v>
      </c>
      <c r="V575" s="117">
        <v>716</v>
      </c>
      <c r="W575" s="117">
        <v>0</v>
      </c>
      <c r="X575" s="117">
        <v>0</v>
      </c>
      <c r="Y575" s="117">
        <v>404</v>
      </c>
      <c r="Z575" s="117">
        <v>0</v>
      </c>
      <c r="AA575" s="117">
        <v>0</v>
      </c>
      <c r="AB575" s="117">
        <v>404</v>
      </c>
      <c r="AC575" s="117">
        <v>0</v>
      </c>
    </row>
    <row r="576" spans="1:29" s="4" customFormat="1" ht="30" customHeight="1" x14ac:dyDescent="0.3">
      <c r="A576" s="111" t="s">
        <v>640</v>
      </c>
      <c r="B576" s="111" t="s">
        <v>641</v>
      </c>
      <c r="C576" s="112" t="s">
        <v>69</v>
      </c>
      <c r="D576" s="67" t="s">
        <v>70</v>
      </c>
      <c r="E576" s="113" t="s">
        <v>69</v>
      </c>
      <c r="F576" s="67" t="s">
        <v>444</v>
      </c>
      <c r="G576" s="125" t="s">
        <v>790</v>
      </c>
      <c r="H576" s="118" t="s">
        <v>485</v>
      </c>
      <c r="I576" s="121" t="s">
        <v>366</v>
      </c>
      <c r="J576" s="121" t="s">
        <v>486</v>
      </c>
      <c r="K576" s="91" t="s">
        <v>32</v>
      </c>
      <c r="L576" s="72" t="s">
        <v>32</v>
      </c>
      <c r="M576" s="125" t="s">
        <v>54</v>
      </c>
      <c r="N576" s="91">
        <v>1870</v>
      </c>
      <c r="O576" s="91">
        <v>5.5</v>
      </c>
      <c r="P576" s="117" t="s">
        <v>60</v>
      </c>
      <c r="Q576" s="117">
        <v>11220</v>
      </c>
      <c r="R576" s="117">
        <v>0</v>
      </c>
      <c r="S576" s="117">
        <v>2085</v>
      </c>
      <c r="T576" s="117">
        <v>0</v>
      </c>
      <c r="U576" s="117">
        <v>0</v>
      </c>
      <c r="V576" s="117">
        <v>2805</v>
      </c>
      <c r="W576" s="117">
        <v>0</v>
      </c>
      <c r="X576" s="117">
        <v>0</v>
      </c>
      <c r="Y576" s="117">
        <v>2893</v>
      </c>
      <c r="Z576" s="117">
        <v>0</v>
      </c>
      <c r="AA576" s="117">
        <v>0</v>
      </c>
      <c r="AB576" s="117">
        <v>3437</v>
      </c>
      <c r="AC576" s="117">
        <v>0</v>
      </c>
    </row>
    <row r="577" spans="1:29" s="4" customFormat="1" ht="30" customHeight="1" x14ac:dyDescent="0.3">
      <c r="A577" s="111" t="s">
        <v>640</v>
      </c>
      <c r="B577" s="111" t="s">
        <v>641</v>
      </c>
      <c r="C577" s="112" t="s">
        <v>69</v>
      </c>
      <c r="D577" s="67" t="s">
        <v>70</v>
      </c>
      <c r="E577" s="113" t="s">
        <v>69</v>
      </c>
      <c r="F577" s="67" t="s">
        <v>444</v>
      </c>
      <c r="G577" s="125" t="s">
        <v>790</v>
      </c>
      <c r="H577" s="118" t="s">
        <v>485</v>
      </c>
      <c r="I577" s="121" t="s">
        <v>791</v>
      </c>
      <c r="J577" s="121" t="s">
        <v>792</v>
      </c>
      <c r="K577" s="91" t="s">
        <v>32</v>
      </c>
      <c r="L577" s="72" t="s">
        <v>32</v>
      </c>
      <c r="M577" s="125" t="s">
        <v>54</v>
      </c>
      <c r="N577" s="91">
        <v>33</v>
      </c>
      <c r="O577" s="91">
        <v>107.88</v>
      </c>
      <c r="P577" s="117" t="s">
        <v>60</v>
      </c>
      <c r="Q577" s="117">
        <v>3668</v>
      </c>
      <c r="R577" s="117">
        <v>0</v>
      </c>
      <c r="S577" s="117">
        <v>0</v>
      </c>
      <c r="T577" s="117">
        <v>0</v>
      </c>
      <c r="U577" s="117">
        <v>0</v>
      </c>
      <c r="V577" s="117">
        <v>2013</v>
      </c>
      <c r="W577" s="117">
        <v>0</v>
      </c>
      <c r="X577" s="117">
        <v>0</v>
      </c>
      <c r="Y577" s="117">
        <v>0</v>
      </c>
      <c r="Z577" s="117">
        <v>0</v>
      </c>
      <c r="AA577" s="117">
        <v>0</v>
      </c>
      <c r="AB577" s="117">
        <v>1655</v>
      </c>
      <c r="AC577" s="117">
        <v>0</v>
      </c>
    </row>
    <row r="578" spans="1:29" s="4" customFormat="1" ht="30" customHeight="1" x14ac:dyDescent="0.3">
      <c r="A578" s="111" t="s">
        <v>640</v>
      </c>
      <c r="B578" s="111" t="s">
        <v>641</v>
      </c>
      <c r="C578" s="112" t="s">
        <v>69</v>
      </c>
      <c r="D578" s="67" t="s">
        <v>70</v>
      </c>
      <c r="E578" s="113" t="s">
        <v>69</v>
      </c>
      <c r="F578" s="67" t="s">
        <v>444</v>
      </c>
      <c r="G578" s="125" t="s">
        <v>790</v>
      </c>
      <c r="H578" s="118" t="s">
        <v>485</v>
      </c>
      <c r="I578" s="121" t="s">
        <v>793</v>
      </c>
      <c r="J578" s="121" t="s">
        <v>794</v>
      </c>
      <c r="K578" s="91" t="s">
        <v>32</v>
      </c>
      <c r="L578" s="72" t="s">
        <v>32</v>
      </c>
      <c r="M578" s="125" t="s">
        <v>54</v>
      </c>
      <c r="N578" s="91">
        <v>2</v>
      </c>
      <c r="O578" s="91">
        <v>511.55999999999995</v>
      </c>
      <c r="P578" s="117" t="s">
        <v>60</v>
      </c>
      <c r="Q578" s="117">
        <v>1023</v>
      </c>
      <c r="R578" s="117">
        <v>0</v>
      </c>
      <c r="S578" s="117">
        <v>0</v>
      </c>
      <c r="T578" s="117">
        <v>0</v>
      </c>
      <c r="U578" s="117">
        <v>0</v>
      </c>
      <c r="V578" s="117">
        <v>512</v>
      </c>
      <c r="W578" s="117">
        <v>0</v>
      </c>
      <c r="X578" s="117">
        <v>0</v>
      </c>
      <c r="Y578" s="117">
        <v>0</v>
      </c>
      <c r="Z578" s="117">
        <v>0</v>
      </c>
      <c r="AA578" s="117">
        <v>0</v>
      </c>
      <c r="AB578" s="117">
        <v>511</v>
      </c>
      <c r="AC578" s="117">
        <v>0</v>
      </c>
    </row>
    <row r="579" spans="1:29" s="4" customFormat="1" ht="30" customHeight="1" x14ac:dyDescent="0.3">
      <c r="A579" s="73" t="s">
        <v>795</v>
      </c>
      <c r="B579" s="73" t="s">
        <v>641</v>
      </c>
      <c r="C579" s="66" t="s">
        <v>69</v>
      </c>
      <c r="D579" s="73" t="s">
        <v>74</v>
      </c>
      <c r="E579" s="144">
        <v>45</v>
      </c>
      <c r="F579" s="73" t="s">
        <v>75</v>
      </c>
      <c r="G579" s="66">
        <v>21101</v>
      </c>
      <c r="H579" s="80" t="s">
        <v>500</v>
      </c>
      <c r="I579" s="81" t="s">
        <v>796</v>
      </c>
      <c r="J579" s="80" t="s">
        <v>797</v>
      </c>
      <c r="K579" s="91" t="s">
        <v>32</v>
      </c>
      <c r="L579" s="72" t="s">
        <v>32</v>
      </c>
      <c r="M579" s="145" t="s">
        <v>54</v>
      </c>
      <c r="N579" s="91">
        <v>1</v>
      </c>
      <c r="O579" s="91">
        <v>208.626</v>
      </c>
      <c r="P579" s="117" t="s">
        <v>60</v>
      </c>
      <c r="Q579" s="117">
        <v>209</v>
      </c>
      <c r="R579" s="117">
        <v>0</v>
      </c>
      <c r="S579" s="117">
        <v>0</v>
      </c>
      <c r="T579" s="117">
        <v>0</v>
      </c>
      <c r="U579" s="117">
        <v>0</v>
      </c>
      <c r="V579" s="117">
        <v>0</v>
      </c>
      <c r="W579" s="117">
        <v>0</v>
      </c>
      <c r="X579" s="117">
        <v>0</v>
      </c>
      <c r="Y579" s="117">
        <v>0</v>
      </c>
      <c r="Z579" s="117">
        <v>0</v>
      </c>
      <c r="AA579" s="117">
        <v>0</v>
      </c>
      <c r="AB579" s="117">
        <v>209</v>
      </c>
      <c r="AC579" s="117">
        <v>0</v>
      </c>
    </row>
    <row r="580" spans="1:29" s="4" customFormat="1" ht="30" customHeight="1" x14ac:dyDescent="0.3">
      <c r="A580" s="73" t="s">
        <v>795</v>
      </c>
      <c r="B580" s="73" t="s">
        <v>641</v>
      </c>
      <c r="C580" s="66" t="s">
        <v>69</v>
      </c>
      <c r="D580" s="73" t="s">
        <v>74</v>
      </c>
      <c r="E580" s="144">
        <v>45</v>
      </c>
      <c r="F580" s="73" t="s">
        <v>75</v>
      </c>
      <c r="G580" s="66">
        <v>21101</v>
      </c>
      <c r="H580" s="80" t="s">
        <v>500</v>
      </c>
      <c r="I580" s="81" t="s">
        <v>272</v>
      </c>
      <c r="J580" s="80" t="s">
        <v>33</v>
      </c>
      <c r="K580" s="91" t="s">
        <v>32</v>
      </c>
      <c r="L580" s="72" t="s">
        <v>32</v>
      </c>
      <c r="M580" s="145" t="s">
        <v>54</v>
      </c>
      <c r="N580" s="91">
        <v>2</v>
      </c>
      <c r="O580" s="91">
        <v>4.18</v>
      </c>
      <c r="P580" s="117" t="s">
        <v>60</v>
      </c>
      <c r="Q580" s="117">
        <v>8</v>
      </c>
      <c r="R580" s="117">
        <v>0</v>
      </c>
      <c r="S580" s="117">
        <v>0</v>
      </c>
      <c r="T580" s="117">
        <v>0</v>
      </c>
      <c r="U580" s="117">
        <v>0</v>
      </c>
      <c r="V580" s="117">
        <v>0</v>
      </c>
      <c r="W580" s="117">
        <v>0</v>
      </c>
      <c r="X580" s="117">
        <v>0</v>
      </c>
      <c r="Y580" s="117">
        <v>8</v>
      </c>
      <c r="Z580" s="117">
        <v>0</v>
      </c>
      <c r="AA580" s="117">
        <v>0</v>
      </c>
      <c r="AB580" s="117">
        <v>0</v>
      </c>
      <c r="AC580" s="117">
        <v>0</v>
      </c>
    </row>
    <row r="581" spans="1:29" s="4" customFormat="1" ht="30" customHeight="1" x14ac:dyDescent="0.3">
      <c r="A581" s="73" t="s">
        <v>795</v>
      </c>
      <c r="B581" s="73" t="s">
        <v>641</v>
      </c>
      <c r="C581" s="66" t="s">
        <v>69</v>
      </c>
      <c r="D581" s="73" t="s">
        <v>74</v>
      </c>
      <c r="E581" s="144">
        <v>45</v>
      </c>
      <c r="F581" s="73" t="s">
        <v>75</v>
      </c>
      <c r="G581" s="66">
        <v>21101</v>
      </c>
      <c r="H581" s="80" t="s">
        <v>500</v>
      </c>
      <c r="I581" s="81" t="s">
        <v>798</v>
      </c>
      <c r="J581" s="80" t="s">
        <v>799</v>
      </c>
      <c r="K581" s="91" t="s">
        <v>32</v>
      </c>
      <c r="L581" s="72" t="s">
        <v>32</v>
      </c>
      <c r="M581" s="145" t="s">
        <v>54</v>
      </c>
      <c r="N581" s="91">
        <v>2</v>
      </c>
      <c r="O581" s="91">
        <v>4.18</v>
      </c>
      <c r="P581" s="117" t="s">
        <v>60</v>
      </c>
      <c r="Q581" s="117">
        <v>8</v>
      </c>
      <c r="R581" s="117">
        <v>0</v>
      </c>
      <c r="S581" s="117">
        <v>0</v>
      </c>
      <c r="T581" s="117">
        <v>0</v>
      </c>
      <c r="U581" s="117">
        <v>0</v>
      </c>
      <c r="V581" s="117">
        <v>0</v>
      </c>
      <c r="W581" s="117">
        <v>0</v>
      </c>
      <c r="X581" s="117">
        <v>0</v>
      </c>
      <c r="Y581" s="117">
        <v>8</v>
      </c>
      <c r="Z581" s="117">
        <v>0</v>
      </c>
      <c r="AA581" s="117">
        <v>0</v>
      </c>
      <c r="AB581" s="117">
        <v>0</v>
      </c>
      <c r="AC581" s="117">
        <v>0</v>
      </c>
    </row>
    <row r="582" spans="1:29" s="4" customFormat="1" ht="30" customHeight="1" x14ac:dyDescent="0.3">
      <c r="A582" s="73" t="s">
        <v>795</v>
      </c>
      <c r="B582" s="73" t="s">
        <v>641</v>
      </c>
      <c r="C582" s="66" t="s">
        <v>69</v>
      </c>
      <c r="D582" s="73" t="s">
        <v>74</v>
      </c>
      <c r="E582" s="144">
        <v>45</v>
      </c>
      <c r="F582" s="73" t="s">
        <v>75</v>
      </c>
      <c r="G582" s="66">
        <v>21101</v>
      </c>
      <c r="H582" s="80" t="s">
        <v>500</v>
      </c>
      <c r="I582" s="81" t="s">
        <v>800</v>
      </c>
      <c r="J582" s="80" t="s">
        <v>801</v>
      </c>
      <c r="K582" s="91" t="s">
        <v>32</v>
      </c>
      <c r="L582" s="72" t="s">
        <v>32</v>
      </c>
      <c r="M582" s="145" t="s">
        <v>54</v>
      </c>
      <c r="N582" s="91">
        <v>2</v>
      </c>
      <c r="O582" s="91">
        <v>4.18</v>
      </c>
      <c r="P582" s="117" t="s">
        <v>60</v>
      </c>
      <c r="Q582" s="117">
        <v>8</v>
      </c>
      <c r="R582" s="117">
        <v>0</v>
      </c>
      <c r="S582" s="117">
        <v>0</v>
      </c>
      <c r="T582" s="117">
        <v>0</v>
      </c>
      <c r="U582" s="117">
        <v>0</v>
      </c>
      <c r="V582" s="117">
        <v>0</v>
      </c>
      <c r="W582" s="117">
        <v>0</v>
      </c>
      <c r="X582" s="117">
        <v>0</v>
      </c>
      <c r="Y582" s="117">
        <v>8</v>
      </c>
      <c r="Z582" s="117">
        <v>0</v>
      </c>
      <c r="AA582" s="117">
        <v>0</v>
      </c>
      <c r="AB582" s="117">
        <v>0</v>
      </c>
      <c r="AC582" s="117">
        <v>0</v>
      </c>
    </row>
    <row r="583" spans="1:29" s="4" customFormat="1" ht="30" customHeight="1" x14ac:dyDescent="0.3">
      <c r="A583" s="73" t="s">
        <v>795</v>
      </c>
      <c r="B583" s="73" t="s">
        <v>641</v>
      </c>
      <c r="C583" s="66" t="s">
        <v>69</v>
      </c>
      <c r="D583" s="73" t="s">
        <v>74</v>
      </c>
      <c r="E583" s="144">
        <v>45</v>
      </c>
      <c r="F583" s="73" t="s">
        <v>75</v>
      </c>
      <c r="G583" s="66">
        <v>21101</v>
      </c>
      <c r="H583" s="80" t="s">
        <v>500</v>
      </c>
      <c r="I583" s="81" t="s">
        <v>270</v>
      </c>
      <c r="J583" s="80" t="s">
        <v>35</v>
      </c>
      <c r="K583" s="91" t="s">
        <v>32</v>
      </c>
      <c r="L583" s="72" t="s">
        <v>32</v>
      </c>
      <c r="M583" s="145" t="s">
        <v>54</v>
      </c>
      <c r="N583" s="91">
        <v>1</v>
      </c>
      <c r="O583" s="91">
        <v>13.870999999999999</v>
      </c>
      <c r="P583" s="117" t="s">
        <v>60</v>
      </c>
      <c r="Q583" s="117">
        <v>14</v>
      </c>
      <c r="R583" s="117">
        <v>0</v>
      </c>
      <c r="S583" s="117">
        <v>14</v>
      </c>
      <c r="T583" s="117">
        <v>0</v>
      </c>
      <c r="U583" s="117">
        <v>0</v>
      </c>
      <c r="V583" s="117">
        <v>0</v>
      </c>
      <c r="W583" s="117">
        <v>0</v>
      </c>
      <c r="X583" s="117">
        <v>0</v>
      </c>
      <c r="Y583" s="117">
        <v>0</v>
      </c>
      <c r="Z583" s="117">
        <v>0</v>
      </c>
      <c r="AA583" s="117">
        <v>0</v>
      </c>
      <c r="AB583" s="117">
        <v>0</v>
      </c>
      <c r="AC583" s="117">
        <v>0</v>
      </c>
    </row>
    <row r="584" spans="1:29" s="4" customFormat="1" ht="30" customHeight="1" x14ac:dyDescent="0.3">
      <c r="A584" s="73" t="s">
        <v>795</v>
      </c>
      <c r="B584" s="73" t="s">
        <v>641</v>
      </c>
      <c r="C584" s="66" t="s">
        <v>69</v>
      </c>
      <c r="D584" s="73" t="s">
        <v>74</v>
      </c>
      <c r="E584" s="144">
        <v>45</v>
      </c>
      <c r="F584" s="73" t="s">
        <v>75</v>
      </c>
      <c r="G584" s="66">
        <v>21101</v>
      </c>
      <c r="H584" s="80" t="s">
        <v>500</v>
      </c>
      <c r="I584" s="81" t="s">
        <v>325</v>
      </c>
      <c r="J584" s="80" t="s">
        <v>76</v>
      </c>
      <c r="K584" s="91" t="s">
        <v>32</v>
      </c>
      <c r="L584" s="72" t="s">
        <v>32</v>
      </c>
      <c r="M584" s="145" t="s">
        <v>54</v>
      </c>
      <c r="N584" s="91">
        <v>1</v>
      </c>
      <c r="O584" s="91">
        <v>13.870999999999999</v>
      </c>
      <c r="P584" s="117" t="s">
        <v>60</v>
      </c>
      <c r="Q584" s="117">
        <v>14</v>
      </c>
      <c r="R584" s="117">
        <v>0</v>
      </c>
      <c r="S584" s="117">
        <v>14</v>
      </c>
      <c r="T584" s="117">
        <v>0</v>
      </c>
      <c r="U584" s="117">
        <v>0</v>
      </c>
      <c r="V584" s="117">
        <v>0</v>
      </c>
      <c r="W584" s="117">
        <v>0</v>
      </c>
      <c r="X584" s="117">
        <v>0</v>
      </c>
      <c r="Y584" s="117">
        <v>0</v>
      </c>
      <c r="Z584" s="117">
        <v>0</v>
      </c>
      <c r="AA584" s="117">
        <v>0</v>
      </c>
      <c r="AB584" s="117">
        <v>0</v>
      </c>
      <c r="AC584" s="117">
        <v>0</v>
      </c>
    </row>
    <row r="585" spans="1:29" s="4" customFormat="1" ht="30" customHeight="1" x14ac:dyDescent="0.3">
      <c r="A585" s="73" t="s">
        <v>795</v>
      </c>
      <c r="B585" s="73" t="s">
        <v>641</v>
      </c>
      <c r="C585" s="66" t="s">
        <v>69</v>
      </c>
      <c r="D585" s="73" t="s">
        <v>74</v>
      </c>
      <c r="E585" s="144">
        <v>45</v>
      </c>
      <c r="F585" s="73" t="s">
        <v>75</v>
      </c>
      <c r="G585" s="66">
        <v>21101</v>
      </c>
      <c r="H585" s="80" t="s">
        <v>500</v>
      </c>
      <c r="I585" s="81" t="s">
        <v>802</v>
      </c>
      <c r="J585" s="80" t="s">
        <v>803</v>
      </c>
      <c r="K585" s="91" t="s">
        <v>32</v>
      </c>
      <c r="L585" s="72" t="s">
        <v>32</v>
      </c>
      <c r="M585" s="145" t="s">
        <v>54</v>
      </c>
      <c r="N585" s="91">
        <v>1</v>
      </c>
      <c r="O585" s="91">
        <v>13.870999999999999</v>
      </c>
      <c r="P585" s="117" t="s">
        <v>60</v>
      </c>
      <c r="Q585" s="117">
        <v>14</v>
      </c>
      <c r="R585" s="117">
        <v>0</v>
      </c>
      <c r="S585" s="117">
        <v>0</v>
      </c>
      <c r="T585" s="117">
        <v>0</v>
      </c>
      <c r="U585" s="117">
        <v>0</v>
      </c>
      <c r="V585" s="117">
        <v>0</v>
      </c>
      <c r="W585" s="117">
        <v>0</v>
      </c>
      <c r="X585" s="117">
        <v>0</v>
      </c>
      <c r="Y585" s="117">
        <v>0</v>
      </c>
      <c r="Z585" s="117">
        <v>0</v>
      </c>
      <c r="AA585" s="117">
        <v>0</v>
      </c>
      <c r="AB585" s="117">
        <v>14</v>
      </c>
      <c r="AC585" s="117">
        <v>0</v>
      </c>
    </row>
    <row r="586" spans="1:29" s="4" customFormat="1" ht="30" customHeight="1" x14ac:dyDescent="0.3">
      <c r="A586" s="73" t="s">
        <v>795</v>
      </c>
      <c r="B586" s="73" t="s">
        <v>641</v>
      </c>
      <c r="C586" s="66" t="s">
        <v>69</v>
      </c>
      <c r="D586" s="73" t="s">
        <v>74</v>
      </c>
      <c r="E586" s="144">
        <v>45</v>
      </c>
      <c r="F586" s="73" t="s">
        <v>75</v>
      </c>
      <c r="G586" s="66">
        <v>21101</v>
      </c>
      <c r="H586" s="80" t="s">
        <v>500</v>
      </c>
      <c r="I586" s="81" t="s">
        <v>289</v>
      </c>
      <c r="J586" s="80" t="s">
        <v>77</v>
      </c>
      <c r="K586" s="91" t="s">
        <v>32</v>
      </c>
      <c r="L586" s="72" t="s">
        <v>32</v>
      </c>
      <c r="M586" s="145" t="s">
        <v>54</v>
      </c>
      <c r="N586" s="91">
        <v>1</v>
      </c>
      <c r="O586" s="91">
        <v>13.870999999999999</v>
      </c>
      <c r="P586" s="117" t="s">
        <v>60</v>
      </c>
      <c r="Q586" s="117">
        <v>14</v>
      </c>
      <c r="R586" s="117">
        <v>0</v>
      </c>
      <c r="S586" s="117">
        <v>0</v>
      </c>
      <c r="T586" s="117">
        <v>0</v>
      </c>
      <c r="U586" s="117">
        <v>0</v>
      </c>
      <c r="V586" s="117">
        <v>0</v>
      </c>
      <c r="W586" s="117">
        <v>0</v>
      </c>
      <c r="X586" s="117">
        <v>0</v>
      </c>
      <c r="Y586" s="117">
        <v>0</v>
      </c>
      <c r="Z586" s="117">
        <v>0</v>
      </c>
      <c r="AA586" s="117">
        <v>0</v>
      </c>
      <c r="AB586" s="117">
        <v>14</v>
      </c>
      <c r="AC586" s="117">
        <v>0</v>
      </c>
    </row>
    <row r="587" spans="1:29" s="4" customFormat="1" ht="30" customHeight="1" x14ac:dyDescent="0.3">
      <c r="A587" s="73" t="s">
        <v>795</v>
      </c>
      <c r="B587" s="73" t="s">
        <v>641</v>
      </c>
      <c r="C587" s="66" t="s">
        <v>69</v>
      </c>
      <c r="D587" s="73" t="s">
        <v>74</v>
      </c>
      <c r="E587" s="144">
        <v>45</v>
      </c>
      <c r="F587" s="73" t="s">
        <v>75</v>
      </c>
      <c r="G587" s="66">
        <v>21101</v>
      </c>
      <c r="H587" s="80" t="s">
        <v>500</v>
      </c>
      <c r="I587" s="81" t="s">
        <v>804</v>
      </c>
      <c r="J587" s="80" t="s">
        <v>805</v>
      </c>
      <c r="K587" s="91" t="s">
        <v>32</v>
      </c>
      <c r="L587" s="72" t="s">
        <v>32</v>
      </c>
      <c r="M587" s="145" t="s">
        <v>54</v>
      </c>
      <c r="N587" s="91">
        <v>1</v>
      </c>
      <c r="O587" s="91">
        <v>13.870999999999999</v>
      </c>
      <c r="P587" s="117" t="s">
        <v>60</v>
      </c>
      <c r="Q587" s="117">
        <v>14</v>
      </c>
      <c r="R587" s="117">
        <v>0</v>
      </c>
      <c r="S587" s="117">
        <v>0</v>
      </c>
      <c r="T587" s="117">
        <v>0</v>
      </c>
      <c r="U587" s="117">
        <v>0</v>
      </c>
      <c r="V587" s="117">
        <v>0</v>
      </c>
      <c r="W587" s="117">
        <v>0</v>
      </c>
      <c r="X587" s="117">
        <v>0</v>
      </c>
      <c r="Y587" s="117">
        <v>13.870999999999999</v>
      </c>
      <c r="Z587" s="117">
        <v>0</v>
      </c>
      <c r="AA587" s="117">
        <v>0</v>
      </c>
      <c r="AB587" s="117">
        <v>0</v>
      </c>
      <c r="AC587" s="117">
        <v>0</v>
      </c>
    </row>
    <row r="588" spans="1:29" s="4" customFormat="1" ht="30" customHeight="1" x14ac:dyDescent="0.3">
      <c r="A588" s="73" t="s">
        <v>795</v>
      </c>
      <c r="B588" s="73" t="s">
        <v>641</v>
      </c>
      <c r="C588" s="66" t="s">
        <v>69</v>
      </c>
      <c r="D588" s="73" t="s">
        <v>74</v>
      </c>
      <c r="E588" s="144">
        <v>45</v>
      </c>
      <c r="F588" s="73" t="s">
        <v>75</v>
      </c>
      <c r="G588" s="66">
        <v>21101</v>
      </c>
      <c r="H588" s="80" t="s">
        <v>500</v>
      </c>
      <c r="I588" s="81" t="s">
        <v>334</v>
      </c>
      <c r="J588" s="80" t="s">
        <v>44</v>
      </c>
      <c r="K588" s="91" t="s">
        <v>32</v>
      </c>
      <c r="L588" s="72" t="s">
        <v>32</v>
      </c>
      <c r="M588" s="145" t="s">
        <v>54</v>
      </c>
      <c r="N588" s="91">
        <v>1</v>
      </c>
      <c r="O588" s="91">
        <v>292.60000000000002</v>
      </c>
      <c r="P588" s="117" t="s">
        <v>60</v>
      </c>
      <c r="Q588" s="117">
        <v>293</v>
      </c>
      <c r="R588" s="117">
        <v>0</v>
      </c>
      <c r="S588" s="117">
        <v>293</v>
      </c>
      <c r="T588" s="117">
        <v>0</v>
      </c>
      <c r="U588" s="117">
        <v>0</v>
      </c>
      <c r="V588" s="117">
        <v>0</v>
      </c>
      <c r="W588" s="117">
        <v>0</v>
      </c>
      <c r="X588" s="117">
        <v>0</v>
      </c>
      <c r="Y588" s="117">
        <v>0</v>
      </c>
      <c r="Z588" s="117">
        <v>0</v>
      </c>
      <c r="AA588" s="117">
        <v>0</v>
      </c>
      <c r="AB588" s="117">
        <v>0</v>
      </c>
      <c r="AC588" s="117">
        <v>0</v>
      </c>
    </row>
    <row r="589" spans="1:29" s="4" customFormat="1" ht="30" customHeight="1" x14ac:dyDescent="0.3">
      <c r="A589" s="73" t="s">
        <v>795</v>
      </c>
      <c r="B589" s="73" t="s">
        <v>641</v>
      </c>
      <c r="C589" s="66" t="s">
        <v>69</v>
      </c>
      <c r="D589" s="73" t="s">
        <v>74</v>
      </c>
      <c r="E589" s="144">
        <v>45</v>
      </c>
      <c r="F589" s="73" t="s">
        <v>75</v>
      </c>
      <c r="G589" s="66">
        <v>21101</v>
      </c>
      <c r="H589" s="80" t="s">
        <v>500</v>
      </c>
      <c r="I589" s="81" t="s">
        <v>309</v>
      </c>
      <c r="J589" s="80" t="s">
        <v>46</v>
      </c>
      <c r="K589" s="91" t="s">
        <v>32</v>
      </c>
      <c r="L589" s="72" t="s">
        <v>32</v>
      </c>
      <c r="M589" s="145" t="s">
        <v>55</v>
      </c>
      <c r="N589" s="91">
        <v>1</v>
      </c>
      <c r="O589" s="91">
        <v>60.5</v>
      </c>
      <c r="P589" s="117" t="s">
        <v>60</v>
      </c>
      <c r="Q589" s="117">
        <v>61</v>
      </c>
      <c r="R589" s="117">
        <v>0</v>
      </c>
      <c r="S589" s="117">
        <v>61</v>
      </c>
      <c r="T589" s="117">
        <v>0</v>
      </c>
      <c r="U589" s="117">
        <v>0</v>
      </c>
      <c r="V589" s="117">
        <v>0</v>
      </c>
      <c r="W589" s="117">
        <v>0</v>
      </c>
      <c r="X589" s="117">
        <v>0</v>
      </c>
      <c r="Y589" s="117">
        <v>0</v>
      </c>
      <c r="Z589" s="117">
        <v>0</v>
      </c>
      <c r="AA589" s="117">
        <v>0</v>
      </c>
      <c r="AB589" s="117">
        <v>0</v>
      </c>
      <c r="AC589" s="117">
        <v>0</v>
      </c>
    </row>
    <row r="590" spans="1:29" s="4" customFormat="1" ht="30" customHeight="1" x14ac:dyDescent="0.3">
      <c r="A590" s="73" t="s">
        <v>795</v>
      </c>
      <c r="B590" s="73" t="s">
        <v>641</v>
      </c>
      <c r="C590" s="66" t="s">
        <v>69</v>
      </c>
      <c r="D590" s="73" t="s">
        <v>74</v>
      </c>
      <c r="E590" s="144">
        <v>45</v>
      </c>
      <c r="F590" s="73" t="s">
        <v>75</v>
      </c>
      <c r="G590" s="66">
        <v>21101</v>
      </c>
      <c r="H590" s="80" t="s">
        <v>500</v>
      </c>
      <c r="I590" s="81" t="s">
        <v>806</v>
      </c>
      <c r="J590" s="80" t="s">
        <v>807</v>
      </c>
      <c r="K590" s="91" t="s">
        <v>32</v>
      </c>
      <c r="L590" s="72" t="s">
        <v>32</v>
      </c>
      <c r="M590" s="145" t="s">
        <v>55</v>
      </c>
      <c r="N590" s="91">
        <v>5.92</v>
      </c>
      <c r="O590" s="91">
        <v>38.5</v>
      </c>
      <c r="P590" s="117" t="s">
        <v>60</v>
      </c>
      <c r="Q590" s="117">
        <v>231</v>
      </c>
      <c r="R590" s="117">
        <v>0</v>
      </c>
      <c r="S590" s="117">
        <v>0</v>
      </c>
      <c r="T590" s="117">
        <v>0</v>
      </c>
      <c r="U590" s="117">
        <v>0</v>
      </c>
      <c r="V590" s="117">
        <v>116</v>
      </c>
      <c r="W590" s="117">
        <v>0</v>
      </c>
      <c r="X590" s="117">
        <v>0</v>
      </c>
      <c r="Y590" s="117">
        <v>116</v>
      </c>
      <c r="Z590" s="117">
        <v>0</v>
      </c>
      <c r="AA590" s="117">
        <v>0</v>
      </c>
      <c r="AB590" s="117">
        <v>0</v>
      </c>
      <c r="AC590" s="117">
        <v>0</v>
      </c>
    </row>
    <row r="591" spans="1:29" s="4" customFormat="1" ht="30" customHeight="1" x14ac:dyDescent="0.3">
      <c r="A591" s="73" t="s">
        <v>795</v>
      </c>
      <c r="B591" s="73" t="s">
        <v>641</v>
      </c>
      <c r="C591" s="66" t="s">
        <v>69</v>
      </c>
      <c r="D591" s="73" t="s">
        <v>74</v>
      </c>
      <c r="E591" s="144">
        <v>45</v>
      </c>
      <c r="F591" s="73" t="s">
        <v>75</v>
      </c>
      <c r="G591" s="66">
        <v>21601</v>
      </c>
      <c r="H591" s="80" t="s">
        <v>481</v>
      </c>
      <c r="I591" s="81" t="s">
        <v>348</v>
      </c>
      <c r="J591" s="80" t="s">
        <v>780</v>
      </c>
      <c r="K591" s="91" t="s">
        <v>32</v>
      </c>
      <c r="L591" s="72" t="s">
        <v>32</v>
      </c>
      <c r="M591" s="145" t="s">
        <v>79</v>
      </c>
      <c r="N591" s="91">
        <v>4</v>
      </c>
      <c r="O591" s="91">
        <v>22</v>
      </c>
      <c r="P591" s="117" t="s">
        <v>60</v>
      </c>
      <c r="Q591" s="117">
        <v>88</v>
      </c>
      <c r="R591" s="117">
        <v>0</v>
      </c>
      <c r="S591" s="117">
        <v>22</v>
      </c>
      <c r="T591" s="117">
        <v>0</v>
      </c>
      <c r="U591" s="117">
        <v>0</v>
      </c>
      <c r="V591" s="117">
        <v>22</v>
      </c>
      <c r="W591" s="117">
        <v>0</v>
      </c>
      <c r="X591" s="117">
        <v>0</v>
      </c>
      <c r="Y591" s="117">
        <v>22</v>
      </c>
      <c r="Z591" s="117">
        <v>0</v>
      </c>
      <c r="AA591" s="117">
        <v>0</v>
      </c>
      <c r="AB591" s="117">
        <v>22</v>
      </c>
      <c r="AC591" s="117">
        <v>0</v>
      </c>
    </row>
    <row r="592" spans="1:29" s="4" customFormat="1" ht="30" customHeight="1" x14ac:dyDescent="0.3">
      <c r="A592" s="73" t="s">
        <v>795</v>
      </c>
      <c r="B592" s="73" t="s">
        <v>641</v>
      </c>
      <c r="C592" s="66" t="s">
        <v>69</v>
      </c>
      <c r="D592" s="73" t="s">
        <v>74</v>
      </c>
      <c r="E592" s="144">
        <v>45</v>
      </c>
      <c r="F592" s="73" t="s">
        <v>75</v>
      </c>
      <c r="G592" s="66">
        <v>21601</v>
      </c>
      <c r="H592" s="80" t="s">
        <v>481</v>
      </c>
      <c r="I592" s="81" t="s">
        <v>349</v>
      </c>
      <c r="J592" s="80" t="s">
        <v>78</v>
      </c>
      <c r="K592" s="91" t="s">
        <v>32</v>
      </c>
      <c r="L592" s="72" t="s">
        <v>32</v>
      </c>
      <c r="M592" s="145" t="s">
        <v>54</v>
      </c>
      <c r="N592" s="91">
        <v>2</v>
      </c>
      <c r="O592" s="91">
        <v>93.5</v>
      </c>
      <c r="P592" s="117" t="s">
        <v>60</v>
      </c>
      <c r="Q592" s="117">
        <v>187</v>
      </c>
      <c r="R592" s="117">
        <v>0</v>
      </c>
      <c r="S592" s="117">
        <v>0</v>
      </c>
      <c r="T592" s="117">
        <v>0</v>
      </c>
      <c r="U592" s="117">
        <v>0</v>
      </c>
      <c r="V592" s="117">
        <v>94</v>
      </c>
      <c r="W592" s="117">
        <v>0</v>
      </c>
      <c r="X592" s="117">
        <v>0</v>
      </c>
      <c r="Y592" s="117">
        <v>0</v>
      </c>
      <c r="Z592" s="117">
        <v>0</v>
      </c>
      <c r="AA592" s="117">
        <v>0</v>
      </c>
      <c r="AB592" s="117">
        <v>93</v>
      </c>
      <c r="AC592" s="117">
        <v>0</v>
      </c>
    </row>
    <row r="593" spans="1:29" s="4" customFormat="1" ht="30" customHeight="1" x14ac:dyDescent="0.3">
      <c r="A593" s="73" t="s">
        <v>795</v>
      </c>
      <c r="B593" s="73" t="s">
        <v>641</v>
      </c>
      <c r="C593" s="66" t="s">
        <v>69</v>
      </c>
      <c r="D593" s="73" t="s">
        <v>74</v>
      </c>
      <c r="E593" s="144">
        <v>45</v>
      </c>
      <c r="F593" s="73" t="s">
        <v>75</v>
      </c>
      <c r="G593" s="66">
        <v>21601</v>
      </c>
      <c r="H593" s="80" t="s">
        <v>481</v>
      </c>
      <c r="I593" s="81" t="s">
        <v>350</v>
      </c>
      <c r="J593" s="80" t="s">
        <v>445</v>
      </c>
      <c r="K593" s="91" t="s">
        <v>32</v>
      </c>
      <c r="L593" s="72" t="s">
        <v>32</v>
      </c>
      <c r="M593" s="146" t="s">
        <v>56</v>
      </c>
      <c r="N593" s="91">
        <v>8</v>
      </c>
      <c r="O593" s="91">
        <v>20.9</v>
      </c>
      <c r="P593" s="117" t="s">
        <v>60</v>
      </c>
      <c r="Q593" s="117">
        <v>167</v>
      </c>
      <c r="R593" s="117">
        <v>0</v>
      </c>
      <c r="S593" s="117">
        <v>42</v>
      </c>
      <c r="T593" s="117">
        <v>0</v>
      </c>
      <c r="U593" s="117">
        <v>0</v>
      </c>
      <c r="V593" s="117">
        <v>42</v>
      </c>
      <c r="W593" s="117">
        <v>0</v>
      </c>
      <c r="X593" s="117">
        <v>0</v>
      </c>
      <c r="Y593" s="117">
        <v>42</v>
      </c>
      <c r="Z593" s="117">
        <v>0</v>
      </c>
      <c r="AA593" s="117">
        <v>0</v>
      </c>
      <c r="AB593" s="117">
        <v>41</v>
      </c>
      <c r="AC593" s="117">
        <v>0</v>
      </c>
    </row>
    <row r="594" spans="1:29" s="4" customFormat="1" ht="30" customHeight="1" x14ac:dyDescent="0.3">
      <c r="A594" s="73" t="s">
        <v>795</v>
      </c>
      <c r="B594" s="73" t="s">
        <v>641</v>
      </c>
      <c r="C594" s="66" t="s">
        <v>69</v>
      </c>
      <c r="D594" s="73" t="s">
        <v>74</v>
      </c>
      <c r="E594" s="144">
        <v>88</v>
      </c>
      <c r="F594" s="73" t="s">
        <v>87</v>
      </c>
      <c r="G594" s="72">
        <v>35201</v>
      </c>
      <c r="H594" s="80" t="s">
        <v>808</v>
      </c>
      <c r="I594" s="128"/>
      <c r="J594" s="80" t="s">
        <v>809</v>
      </c>
      <c r="K594" s="91" t="s">
        <v>32</v>
      </c>
      <c r="L594" s="72" t="s">
        <v>32</v>
      </c>
      <c r="M594" s="125" t="s">
        <v>68</v>
      </c>
      <c r="N594" s="91">
        <v>1</v>
      </c>
      <c r="O594" s="91">
        <v>3204</v>
      </c>
      <c r="P594" s="117" t="s">
        <v>60</v>
      </c>
      <c r="Q594" s="117">
        <v>3204</v>
      </c>
      <c r="R594" s="117">
        <v>0</v>
      </c>
      <c r="S594" s="117">
        <v>0</v>
      </c>
      <c r="T594" s="117">
        <v>0</v>
      </c>
      <c r="U594" s="117">
        <v>0</v>
      </c>
      <c r="V594" s="117">
        <v>3204</v>
      </c>
      <c r="W594" s="117">
        <v>0</v>
      </c>
      <c r="X594" s="117">
        <v>0</v>
      </c>
      <c r="Y594" s="117">
        <v>0</v>
      </c>
      <c r="Z594" s="117">
        <v>0</v>
      </c>
      <c r="AA594" s="117">
        <v>0</v>
      </c>
      <c r="AB594" s="117">
        <v>0</v>
      </c>
      <c r="AC594" s="117">
        <v>0</v>
      </c>
    </row>
    <row r="595" spans="1:29" s="4" customFormat="1" ht="30" customHeight="1" x14ac:dyDescent="0.3">
      <c r="A595" s="73" t="s">
        <v>795</v>
      </c>
      <c r="B595" s="73" t="s">
        <v>641</v>
      </c>
      <c r="C595" s="66" t="s">
        <v>69</v>
      </c>
      <c r="D595" s="73" t="s">
        <v>74</v>
      </c>
      <c r="E595" s="144">
        <v>45</v>
      </c>
      <c r="F595" s="73" t="s">
        <v>80</v>
      </c>
      <c r="G595" s="66">
        <v>21101</v>
      </c>
      <c r="H595" s="80" t="s">
        <v>500</v>
      </c>
      <c r="I595" s="81" t="s">
        <v>796</v>
      </c>
      <c r="J595" s="80" t="s">
        <v>797</v>
      </c>
      <c r="K595" s="91" t="s">
        <v>32</v>
      </c>
      <c r="L595" s="72" t="s">
        <v>32</v>
      </c>
      <c r="M595" s="145" t="s">
        <v>54</v>
      </c>
      <c r="N595" s="91">
        <v>1</v>
      </c>
      <c r="O595" s="91">
        <v>208.626</v>
      </c>
      <c r="P595" s="117" t="s">
        <v>60</v>
      </c>
      <c r="Q595" s="117">
        <v>209</v>
      </c>
      <c r="R595" s="117">
        <v>0</v>
      </c>
      <c r="S595" s="117">
        <v>0</v>
      </c>
      <c r="T595" s="117">
        <v>0</v>
      </c>
      <c r="U595" s="117">
        <v>0</v>
      </c>
      <c r="V595" s="117">
        <v>0</v>
      </c>
      <c r="W595" s="117">
        <v>0</v>
      </c>
      <c r="X595" s="117">
        <v>0</v>
      </c>
      <c r="Y595" s="117">
        <v>0</v>
      </c>
      <c r="Z595" s="117">
        <v>0</v>
      </c>
      <c r="AA595" s="117">
        <v>0</v>
      </c>
      <c r="AB595" s="117">
        <v>209</v>
      </c>
      <c r="AC595" s="117">
        <v>0</v>
      </c>
    </row>
    <row r="596" spans="1:29" s="4" customFormat="1" ht="30" customHeight="1" x14ac:dyDescent="0.3">
      <c r="A596" s="73" t="s">
        <v>795</v>
      </c>
      <c r="B596" s="73" t="s">
        <v>641</v>
      </c>
      <c r="C596" s="66" t="s">
        <v>69</v>
      </c>
      <c r="D596" s="73" t="s">
        <v>74</v>
      </c>
      <c r="E596" s="144">
        <v>45</v>
      </c>
      <c r="F596" s="73" t="s">
        <v>80</v>
      </c>
      <c r="G596" s="66">
        <v>21101</v>
      </c>
      <c r="H596" s="80" t="s">
        <v>500</v>
      </c>
      <c r="I596" s="81" t="s">
        <v>810</v>
      </c>
      <c r="J596" s="80" t="s">
        <v>811</v>
      </c>
      <c r="K596" s="91" t="s">
        <v>32</v>
      </c>
      <c r="L596" s="72" t="s">
        <v>32</v>
      </c>
      <c r="M596" s="145" t="s">
        <v>62</v>
      </c>
      <c r="N596" s="91">
        <v>2</v>
      </c>
      <c r="O596" s="91">
        <v>271.7</v>
      </c>
      <c r="P596" s="117" t="s">
        <v>60</v>
      </c>
      <c r="Q596" s="117">
        <v>543</v>
      </c>
      <c r="R596" s="117">
        <v>0</v>
      </c>
      <c r="S596" s="117">
        <v>0</v>
      </c>
      <c r="T596" s="117">
        <v>0</v>
      </c>
      <c r="U596" s="117">
        <v>0</v>
      </c>
      <c r="V596" s="117">
        <v>272</v>
      </c>
      <c r="W596" s="117">
        <v>0</v>
      </c>
      <c r="X596" s="117">
        <v>0</v>
      </c>
      <c r="Y596" s="117">
        <v>271</v>
      </c>
      <c r="Z596" s="117">
        <v>0</v>
      </c>
      <c r="AA596" s="117">
        <v>0</v>
      </c>
      <c r="AB596" s="117">
        <v>0</v>
      </c>
      <c r="AC596" s="117">
        <v>0</v>
      </c>
    </row>
    <row r="597" spans="1:29" s="4" customFormat="1" ht="30" customHeight="1" x14ac:dyDescent="0.3">
      <c r="A597" s="73" t="s">
        <v>795</v>
      </c>
      <c r="B597" s="73" t="s">
        <v>641</v>
      </c>
      <c r="C597" s="66" t="s">
        <v>69</v>
      </c>
      <c r="D597" s="73" t="s">
        <v>74</v>
      </c>
      <c r="E597" s="144">
        <v>45</v>
      </c>
      <c r="F597" s="73" t="s">
        <v>80</v>
      </c>
      <c r="G597" s="66">
        <v>21101</v>
      </c>
      <c r="H597" s="80" t="s">
        <v>500</v>
      </c>
      <c r="I597" s="81" t="s">
        <v>812</v>
      </c>
      <c r="J597" s="80" t="s">
        <v>813</v>
      </c>
      <c r="K597" s="91" t="s">
        <v>32</v>
      </c>
      <c r="L597" s="72" t="s">
        <v>32</v>
      </c>
      <c r="M597" s="145" t="s">
        <v>54</v>
      </c>
      <c r="N597" s="91">
        <v>12</v>
      </c>
      <c r="O597" s="91">
        <v>4.18</v>
      </c>
      <c r="P597" s="117" t="s">
        <v>60</v>
      </c>
      <c r="Q597" s="117">
        <v>50</v>
      </c>
      <c r="R597" s="117">
        <v>0</v>
      </c>
      <c r="S597" s="117">
        <v>11</v>
      </c>
      <c r="T597" s="117">
        <v>0</v>
      </c>
      <c r="U597" s="117">
        <v>0</v>
      </c>
      <c r="V597" s="117">
        <v>13</v>
      </c>
      <c r="W597" s="117">
        <v>0</v>
      </c>
      <c r="X597" s="117">
        <v>0</v>
      </c>
      <c r="Y597" s="117">
        <v>13</v>
      </c>
      <c r="Z597" s="117">
        <v>0</v>
      </c>
      <c r="AA597" s="117">
        <v>0</v>
      </c>
      <c r="AB597" s="117">
        <v>13</v>
      </c>
      <c r="AC597" s="117">
        <v>0</v>
      </c>
    </row>
    <row r="598" spans="1:29" s="4" customFormat="1" ht="30" customHeight="1" x14ac:dyDescent="0.3">
      <c r="A598" s="73" t="s">
        <v>795</v>
      </c>
      <c r="B598" s="73" t="s">
        <v>641</v>
      </c>
      <c r="C598" s="66" t="s">
        <v>69</v>
      </c>
      <c r="D598" s="73" t="s">
        <v>74</v>
      </c>
      <c r="E598" s="144">
        <v>45</v>
      </c>
      <c r="F598" s="73" t="s">
        <v>80</v>
      </c>
      <c r="G598" s="66">
        <v>21101</v>
      </c>
      <c r="H598" s="80" t="s">
        <v>500</v>
      </c>
      <c r="I598" s="81" t="s">
        <v>814</v>
      </c>
      <c r="J598" s="80" t="s">
        <v>815</v>
      </c>
      <c r="K598" s="91" t="s">
        <v>32</v>
      </c>
      <c r="L598" s="72" t="s">
        <v>32</v>
      </c>
      <c r="M598" s="145" t="s">
        <v>54</v>
      </c>
      <c r="N598" s="91">
        <v>1</v>
      </c>
      <c r="O598" s="91">
        <v>24.2</v>
      </c>
      <c r="P598" s="117" t="s">
        <v>60</v>
      </c>
      <c r="Q598" s="117">
        <v>24</v>
      </c>
      <c r="R598" s="117">
        <v>0</v>
      </c>
      <c r="S598" s="117">
        <v>24</v>
      </c>
      <c r="T598" s="117">
        <v>0</v>
      </c>
      <c r="U598" s="117">
        <v>0</v>
      </c>
      <c r="V598" s="117">
        <v>0</v>
      </c>
      <c r="W598" s="117">
        <v>0</v>
      </c>
      <c r="X598" s="117">
        <v>0</v>
      </c>
      <c r="Y598" s="117">
        <v>0</v>
      </c>
      <c r="Z598" s="117">
        <v>0</v>
      </c>
      <c r="AA598" s="117">
        <v>0</v>
      </c>
      <c r="AB598" s="117">
        <v>0</v>
      </c>
      <c r="AC598" s="117">
        <v>0</v>
      </c>
    </row>
    <row r="599" spans="1:29" s="4" customFormat="1" ht="30" customHeight="1" x14ac:dyDescent="0.3">
      <c r="A599" s="73" t="s">
        <v>795</v>
      </c>
      <c r="B599" s="73" t="s">
        <v>641</v>
      </c>
      <c r="C599" s="66" t="s">
        <v>69</v>
      </c>
      <c r="D599" s="73" t="s">
        <v>74</v>
      </c>
      <c r="E599" s="144">
        <v>45</v>
      </c>
      <c r="F599" s="73" t="s">
        <v>80</v>
      </c>
      <c r="G599" s="66">
        <v>21101</v>
      </c>
      <c r="H599" s="80" t="s">
        <v>500</v>
      </c>
      <c r="I599" s="81" t="s">
        <v>253</v>
      </c>
      <c r="J599" s="80" t="s">
        <v>34</v>
      </c>
      <c r="K599" s="91" t="s">
        <v>32</v>
      </c>
      <c r="L599" s="72" t="s">
        <v>32</v>
      </c>
      <c r="M599" s="145" t="s">
        <v>54</v>
      </c>
      <c r="N599" s="91">
        <v>1</v>
      </c>
      <c r="O599" s="91">
        <v>24.2</v>
      </c>
      <c r="P599" s="117" t="s">
        <v>60</v>
      </c>
      <c r="Q599" s="117">
        <v>24</v>
      </c>
      <c r="R599" s="117">
        <v>0</v>
      </c>
      <c r="S599" s="117">
        <v>24</v>
      </c>
      <c r="T599" s="117">
        <v>0</v>
      </c>
      <c r="U599" s="117">
        <v>0</v>
      </c>
      <c r="V599" s="117">
        <v>0</v>
      </c>
      <c r="W599" s="117">
        <v>0</v>
      </c>
      <c r="X599" s="117">
        <v>0</v>
      </c>
      <c r="Y599" s="117">
        <v>0</v>
      </c>
      <c r="Z599" s="117">
        <v>0</v>
      </c>
      <c r="AA599" s="117">
        <v>0</v>
      </c>
      <c r="AB599" s="117">
        <v>0</v>
      </c>
      <c r="AC599" s="117">
        <v>0</v>
      </c>
    </row>
    <row r="600" spans="1:29" s="4" customFormat="1" ht="30" customHeight="1" x14ac:dyDescent="0.3">
      <c r="A600" s="73" t="s">
        <v>795</v>
      </c>
      <c r="B600" s="73" t="s">
        <v>641</v>
      </c>
      <c r="C600" s="66" t="s">
        <v>69</v>
      </c>
      <c r="D600" s="73" t="s">
        <v>74</v>
      </c>
      <c r="E600" s="144">
        <v>45</v>
      </c>
      <c r="F600" s="73" t="s">
        <v>80</v>
      </c>
      <c r="G600" s="66">
        <v>21101</v>
      </c>
      <c r="H600" s="80" t="s">
        <v>500</v>
      </c>
      <c r="I600" s="81" t="s">
        <v>816</v>
      </c>
      <c r="J600" s="80" t="s">
        <v>817</v>
      </c>
      <c r="K600" s="91" t="s">
        <v>32</v>
      </c>
      <c r="L600" s="72" t="s">
        <v>32</v>
      </c>
      <c r="M600" s="145" t="s">
        <v>54</v>
      </c>
      <c r="N600" s="91">
        <v>1</v>
      </c>
      <c r="O600" s="91">
        <v>24.2</v>
      </c>
      <c r="P600" s="117" t="s">
        <v>60</v>
      </c>
      <c r="Q600" s="117">
        <v>24</v>
      </c>
      <c r="R600" s="117">
        <v>0</v>
      </c>
      <c r="S600" s="117">
        <v>0</v>
      </c>
      <c r="T600" s="117">
        <v>0</v>
      </c>
      <c r="U600" s="117">
        <v>0</v>
      </c>
      <c r="V600" s="117">
        <v>24</v>
      </c>
      <c r="W600" s="117">
        <v>0</v>
      </c>
      <c r="X600" s="117">
        <v>0</v>
      </c>
      <c r="Y600" s="117">
        <v>0</v>
      </c>
      <c r="Z600" s="117">
        <v>0</v>
      </c>
      <c r="AA600" s="117">
        <v>0</v>
      </c>
      <c r="AB600" s="117">
        <v>0</v>
      </c>
      <c r="AC600" s="117">
        <v>0</v>
      </c>
    </row>
    <row r="601" spans="1:29" s="4" customFormat="1" ht="30" customHeight="1" x14ac:dyDescent="0.3">
      <c r="A601" s="73" t="s">
        <v>795</v>
      </c>
      <c r="B601" s="73" t="s">
        <v>641</v>
      </c>
      <c r="C601" s="66" t="s">
        <v>69</v>
      </c>
      <c r="D601" s="73" t="s">
        <v>74</v>
      </c>
      <c r="E601" s="144">
        <v>45</v>
      </c>
      <c r="F601" s="73" t="s">
        <v>80</v>
      </c>
      <c r="G601" s="66">
        <v>21101</v>
      </c>
      <c r="H601" s="80" t="s">
        <v>500</v>
      </c>
      <c r="I601" s="81" t="s">
        <v>270</v>
      </c>
      <c r="J601" s="80" t="s">
        <v>35</v>
      </c>
      <c r="K601" s="91" t="s">
        <v>32</v>
      </c>
      <c r="L601" s="72" t="s">
        <v>32</v>
      </c>
      <c r="M601" s="145" t="s">
        <v>54</v>
      </c>
      <c r="N601" s="91">
        <v>1</v>
      </c>
      <c r="O601" s="91">
        <v>13.870999999999999</v>
      </c>
      <c r="P601" s="117" t="s">
        <v>60</v>
      </c>
      <c r="Q601" s="117">
        <v>14</v>
      </c>
      <c r="R601" s="117">
        <v>0</v>
      </c>
      <c r="S601" s="117">
        <v>14</v>
      </c>
      <c r="T601" s="117">
        <v>0</v>
      </c>
      <c r="U601" s="117">
        <v>0</v>
      </c>
      <c r="V601" s="117">
        <v>0</v>
      </c>
      <c r="W601" s="117">
        <v>0</v>
      </c>
      <c r="X601" s="117">
        <v>0</v>
      </c>
      <c r="Y601" s="117">
        <v>0</v>
      </c>
      <c r="Z601" s="117">
        <v>0</v>
      </c>
      <c r="AA601" s="117">
        <v>0</v>
      </c>
      <c r="AB601" s="117">
        <v>0</v>
      </c>
      <c r="AC601" s="117">
        <v>0</v>
      </c>
    </row>
    <row r="602" spans="1:29" s="4" customFormat="1" ht="30" customHeight="1" x14ac:dyDescent="0.3">
      <c r="A602" s="73" t="s">
        <v>795</v>
      </c>
      <c r="B602" s="73" t="s">
        <v>641</v>
      </c>
      <c r="C602" s="66" t="s">
        <v>69</v>
      </c>
      <c r="D602" s="73" t="s">
        <v>74</v>
      </c>
      <c r="E602" s="144">
        <v>45</v>
      </c>
      <c r="F602" s="73" t="s">
        <v>80</v>
      </c>
      <c r="G602" s="66">
        <v>21101</v>
      </c>
      <c r="H602" s="80" t="s">
        <v>500</v>
      </c>
      <c r="I602" s="81" t="s">
        <v>802</v>
      </c>
      <c r="J602" s="80" t="s">
        <v>803</v>
      </c>
      <c r="K602" s="91" t="s">
        <v>32</v>
      </c>
      <c r="L602" s="72" t="s">
        <v>32</v>
      </c>
      <c r="M602" s="145" t="s">
        <v>54</v>
      </c>
      <c r="N602" s="91">
        <v>1</v>
      </c>
      <c r="O602" s="91">
        <v>13.870999999999999</v>
      </c>
      <c r="P602" s="117" t="s">
        <v>60</v>
      </c>
      <c r="Q602" s="117">
        <v>14</v>
      </c>
      <c r="R602" s="117">
        <v>0</v>
      </c>
      <c r="S602" s="117">
        <v>14</v>
      </c>
      <c r="T602" s="117">
        <v>0</v>
      </c>
      <c r="U602" s="117">
        <v>0</v>
      </c>
      <c r="V602" s="117">
        <v>0</v>
      </c>
      <c r="W602" s="117">
        <v>0</v>
      </c>
      <c r="X602" s="117">
        <v>0</v>
      </c>
      <c r="Y602" s="117">
        <v>0</v>
      </c>
      <c r="Z602" s="117">
        <v>0</v>
      </c>
      <c r="AA602" s="117">
        <v>0</v>
      </c>
      <c r="AB602" s="117">
        <v>0</v>
      </c>
      <c r="AC602" s="117">
        <v>0</v>
      </c>
    </row>
    <row r="603" spans="1:29" s="4" customFormat="1" ht="30" customHeight="1" x14ac:dyDescent="0.3">
      <c r="A603" s="73" t="s">
        <v>795</v>
      </c>
      <c r="B603" s="73" t="s">
        <v>641</v>
      </c>
      <c r="C603" s="66" t="s">
        <v>69</v>
      </c>
      <c r="D603" s="73" t="s">
        <v>74</v>
      </c>
      <c r="E603" s="144">
        <v>45</v>
      </c>
      <c r="F603" s="73" t="s">
        <v>80</v>
      </c>
      <c r="G603" s="66">
        <v>21101</v>
      </c>
      <c r="H603" s="80" t="s">
        <v>500</v>
      </c>
      <c r="I603" s="81" t="s">
        <v>804</v>
      </c>
      <c r="J603" s="80" t="s">
        <v>805</v>
      </c>
      <c r="K603" s="91" t="s">
        <v>32</v>
      </c>
      <c r="L603" s="72" t="s">
        <v>32</v>
      </c>
      <c r="M603" s="145" t="s">
        <v>54</v>
      </c>
      <c r="N603" s="91">
        <v>1</v>
      </c>
      <c r="O603" s="91">
        <v>13.870999999999999</v>
      </c>
      <c r="P603" s="117" t="s">
        <v>60</v>
      </c>
      <c r="Q603" s="117">
        <v>14</v>
      </c>
      <c r="R603" s="117">
        <v>0</v>
      </c>
      <c r="S603" s="117">
        <v>0</v>
      </c>
      <c r="T603" s="117">
        <v>0</v>
      </c>
      <c r="U603" s="117">
        <v>0</v>
      </c>
      <c r="V603" s="117">
        <v>14</v>
      </c>
      <c r="W603" s="117">
        <v>0</v>
      </c>
      <c r="X603" s="117">
        <v>0</v>
      </c>
      <c r="Y603" s="117">
        <v>0</v>
      </c>
      <c r="Z603" s="117">
        <v>0</v>
      </c>
      <c r="AA603" s="117">
        <v>0</v>
      </c>
      <c r="AB603" s="117">
        <v>0</v>
      </c>
      <c r="AC603" s="117">
        <v>0</v>
      </c>
    </row>
    <row r="604" spans="1:29" s="4" customFormat="1" ht="30" customHeight="1" x14ac:dyDescent="0.3">
      <c r="A604" s="73" t="s">
        <v>795</v>
      </c>
      <c r="B604" s="73" t="s">
        <v>641</v>
      </c>
      <c r="C604" s="66" t="s">
        <v>69</v>
      </c>
      <c r="D604" s="73" t="s">
        <v>74</v>
      </c>
      <c r="E604" s="144">
        <v>45</v>
      </c>
      <c r="F604" s="73" t="s">
        <v>80</v>
      </c>
      <c r="G604" s="66">
        <v>21101</v>
      </c>
      <c r="H604" s="80" t="s">
        <v>500</v>
      </c>
      <c r="I604" s="81" t="s">
        <v>319</v>
      </c>
      <c r="J604" s="80" t="s">
        <v>81</v>
      </c>
      <c r="K604" s="91" t="s">
        <v>32</v>
      </c>
      <c r="L604" s="72" t="s">
        <v>32</v>
      </c>
      <c r="M604" s="145" t="s">
        <v>54</v>
      </c>
      <c r="N604" s="91">
        <v>1</v>
      </c>
      <c r="O604" s="91">
        <v>37.510000000000005</v>
      </c>
      <c r="P604" s="117" t="s">
        <v>60</v>
      </c>
      <c r="Q604" s="117">
        <v>38</v>
      </c>
      <c r="R604" s="117">
        <v>0</v>
      </c>
      <c r="S604" s="117">
        <v>38</v>
      </c>
      <c r="T604" s="117">
        <v>0</v>
      </c>
      <c r="U604" s="117">
        <v>0</v>
      </c>
      <c r="V604" s="117">
        <v>0</v>
      </c>
      <c r="W604" s="117">
        <v>0</v>
      </c>
      <c r="X604" s="117">
        <v>0</v>
      </c>
      <c r="Y604" s="117">
        <v>0</v>
      </c>
      <c r="Z604" s="117">
        <v>0</v>
      </c>
      <c r="AA604" s="117">
        <v>0</v>
      </c>
      <c r="AB604" s="117">
        <v>0</v>
      </c>
      <c r="AC604" s="117">
        <v>0</v>
      </c>
    </row>
    <row r="605" spans="1:29" s="4" customFormat="1" ht="30" customHeight="1" x14ac:dyDescent="0.3">
      <c r="A605" s="73" t="s">
        <v>795</v>
      </c>
      <c r="B605" s="73" t="s">
        <v>641</v>
      </c>
      <c r="C605" s="66" t="s">
        <v>69</v>
      </c>
      <c r="D605" s="73" t="s">
        <v>74</v>
      </c>
      <c r="E605" s="144">
        <v>45</v>
      </c>
      <c r="F605" s="73" t="s">
        <v>80</v>
      </c>
      <c r="G605" s="66">
        <v>21101</v>
      </c>
      <c r="H605" s="80" t="s">
        <v>500</v>
      </c>
      <c r="I605" s="81" t="s">
        <v>256</v>
      </c>
      <c r="J605" s="80" t="s">
        <v>82</v>
      </c>
      <c r="K605" s="91" t="s">
        <v>32</v>
      </c>
      <c r="L605" s="72" t="s">
        <v>32</v>
      </c>
      <c r="M605" s="145" t="s">
        <v>54</v>
      </c>
      <c r="N605" s="91">
        <v>10</v>
      </c>
      <c r="O605" s="91">
        <v>26.95</v>
      </c>
      <c r="P605" s="117" t="s">
        <v>60</v>
      </c>
      <c r="Q605" s="117">
        <v>270</v>
      </c>
      <c r="R605" s="117">
        <v>0</v>
      </c>
      <c r="S605" s="117">
        <v>0</v>
      </c>
      <c r="T605" s="117">
        <v>0</v>
      </c>
      <c r="U605" s="117">
        <v>0</v>
      </c>
      <c r="V605" s="117">
        <v>270</v>
      </c>
      <c r="W605" s="117">
        <v>0</v>
      </c>
      <c r="X605" s="117">
        <v>0</v>
      </c>
      <c r="Y605" s="117">
        <v>0</v>
      </c>
      <c r="Z605" s="117">
        <v>0</v>
      </c>
      <c r="AA605" s="117">
        <v>0</v>
      </c>
      <c r="AB605" s="117">
        <v>0</v>
      </c>
      <c r="AC605" s="117">
        <v>0</v>
      </c>
    </row>
    <row r="606" spans="1:29" s="4" customFormat="1" ht="30" customHeight="1" x14ac:dyDescent="0.3">
      <c r="A606" s="73" t="s">
        <v>795</v>
      </c>
      <c r="B606" s="73" t="s">
        <v>641</v>
      </c>
      <c r="C606" s="66" t="s">
        <v>69</v>
      </c>
      <c r="D606" s="73" t="s">
        <v>74</v>
      </c>
      <c r="E606" s="144">
        <v>45</v>
      </c>
      <c r="F606" s="73" t="s">
        <v>80</v>
      </c>
      <c r="G606" s="66">
        <v>21101</v>
      </c>
      <c r="H606" s="80" t="s">
        <v>500</v>
      </c>
      <c r="I606" s="81" t="s">
        <v>334</v>
      </c>
      <c r="J606" s="80" t="s">
        <v>44</v>
      </c>
      <c r="K606" s="91" t="s">
        <v>32</v>
      </c>
      <c r="L606" s="72" t="s">
        <v>32</v>
      </c>
      <c r="M606" s="145" t="s">
        <v>54</v>
      </c>
      <c r="N606" s="91">
        <v>1</v>
      </c>
      <c r="O606" s="91">
        <v>292.60000000000002</v>
      </c>
      <c r="P606" s="117" t="s">
        <v>60</v>
      </c>
      <c r="Q606" s="117">
        <v>293</v>
      </c>
      <c r="R606" s="117">
        <v>0</v>
      </c>
      <c r="S606" s="117">
        <v>293</v>
      </c>
      <c r="T606" s="117">
        <v>0</v>
      </c>
      <c r="U606" s="117">
        <v>0</v>
      </c>
      <c r="V606" s="117">
        <v>0</v>
      </c>
      <c r="W606" s="117">
        <v>0</v>
      </c>
      <c r="X606" s="117">
        <v>0</v>
      </c>
      <c r="Y606" s="117">
        <v>0</v>
      </c>
      <c r="Z606" s="117">
        <v>0</v>
      </c>
      <c r="AA606" s="117">
        <v>0</v>
      </c>
      <c r="AB606" s="117">
        <v>0</v>
      </c>
      <c r="AC606" s="117">
        <v>0</v>
      </c>
    </row>
    <row r="607" spans="1:29" s="4" customFormat="1" ht="30" customHeight="1" x14ac:dyDescent="0.3">
      <c r="A607" s="73" t="s">
        <v>795</v>
      </c>
      <c r="B607" s="73" t="s">
        <v>641</v>
      </c>
      <c r="C607" s="66" t="s">
        <v>69</v>
      </c>
      <c r="D607" s="73" t="s">
        <v>74</v>
      </c>
      <c r="E607" s="144">
        <v>45</v>
      </c>
      <c r="F607" s="73" t="s">
        <v>80</v>
      </c>
      <c r="G607" s="66">
        <v>21101</v>
      </c>
      <c r="H607" s="80" t="s">
        <v>500</v>
      </c>
      <c r="I607" s="81" t="s">
        <v>806</v>
      </c>
      <c r="J607" s="80" t="s">
        <v>807</v>
      </c>
      <c r="K607" s="91" t="s">
        <v>32</v>
      </c>
      <c r="L607" s="72" t="s">
        <v>32</v>
      </c>
      <c r="M607" s="145" t="s">
        <v>55</v>
      </c>
      <c r="N607" s="91">
        <v>6</v>
      </c>
      <c r="O607" s="91">
        <v>38.17</v>
      </c>
      <c r="P607" s="117" t="s">
        <v>60</v>
      </c>
      <c r="Q607" s="117">
        <v>229</v>
      </c>
      <c r="R607" s="117">
        <v>0</v>
      </c>
      <c r="S607" s="117">
        <v>0</v>
      </c>
      <c r="T607" s="117">
        <v>0</v>
      </c>
      <c r="U607" s="117">
        <v>0</v>
      </c>
      <c r="V607" s="117">
        <v>113</v>
      </c>
      <c r="W607" s="117">
        <v>0</v>
      </c>
      <c r="X607" s="117">
        <v>0</v>
      </c>
      <c r="Y607" s="117">
        <v>116</v>
      </c>
      <c r="Z607" s="117">
        <v>0</v>
      </c>
      <c r="AA607" s="117">
        <v>0</v>
      </c>
      <c r="AB607" s="117">
        <v>0</v>
      </c>
      <c r="AC607" s="117">
        <v>0</v>
      </c>
    </row>
    <row r="608" spans="1:29" s="4" customFormat="1" ht="30" customHeight="1" x14ac:dyDescent="0.3">
      <c r="A608" s="73" t="s">
        <v>795</v>
      </c>
      <c r="B608" s="73" t="s">
        <v>641</v>
      </c>
      <c r="C608" s="66" t="s">
        <v>69</v>
      </c>
      <c r="D608" s="73" t="s">
        <v>74</v>
      </c>
      <c r="E608" s="144">
        <v>45</v>
      </c>
      <c r="F608" s="73" t="s">
        <v>80</v>
      </c>
      <c r="G608" s="66">
        <v>21101</v>
      </c>
      <c r="H608" s="80" t="s">
        <v>500</v>
      </c>
      <c r="I608" s="81" t="s">
        <v>818</v>
      </c>
      <c r="J608" s="80" t="s">
        <v>819</v>
      </c>
      <c r="K608" s="91" t="s">
        <v>32</v>
      </c>
      <c r="L608" s="72" t="s">
        <v>32</v>
      </c>
      <c r="M608" s="145" t="s">
        <v>54</v>
      </c>
      <c r="N608" s="91">
        <v>2</v>
      </c>
      <c r="O608" s="91">
        <v>38.5</v>
      </c>
      <c r="P608" s="117" t="s">
        <v>60</v>
      </c>
      <c r="Q608" s="117">
        <v>78</v>
      </c>
      <c r="R608" s="117">
        <v>0</v>
      </c>
      <c r="S608" s="117">
        <v>39</v>
      </c>
      <c r="T608" s="117">
        <v>0</v>
      </c>
      <c r="U608" s="117">
        <v>0</v>
      </c>
      <c r="V608" s="117">
        <v>0</v>
      </c>
      <c r="W608" s="117">
        <v>0</v>
      </c>
      <c r="X608" s="117">
        <v>0</v>
      </c>
      <c r="Y608" s="117">
        <v>39</v>
      </c>
      <c r="Z608" s="117">
        <v>0</v>
      </c>
      <c r="AA608" s="117">
        <v>0</v>
      </c>
      <c r="AB608" s="117">
        <v>0</v>
      </c>
      <c r="AC608" s="117">
        <v>0</v>
      </c>
    </row>
    <row r="609" spans="1:29" s="4" customFormat="1" ht="30" customHeight="1" x14ac:dyDescent="0.3">
      <c r="A609" s="73" t="s">
        <v>795</v>
      </c>
      <c r="B609" s="73" t="s">
        <v>641</v>
      </c>
      <c r="C609" s="66" t="s">
        <v>69</v>
      </c>
      <c r="D609" s="73" t="s">
        <v>74</v>
      </c>
      <c r="E609" s="144">
        <v>45</v>
      </c>
      <c r="F609" s="73" t="s">
        <v>80</v>
      </c>
      <c r="G609" s="66">
        <v>21101</v>
      </c>
      <c r="H609" s="80" t="s">
        <v>500</v>
      </c>
      <c r="I609" s="81" t="s">
        <v>820</v>
      </c>
      <c r="J609" s="80" t="s">
        <v>821</v>
      </c>
      <c r="K609" s="91" t="s">
        <v>32</v>
      </c>
      <c r="L609" s="72" t="s">
        <v>32</v>
      </c>
      <c r="M609" s="145" t="s">
        <v>54</v>
      </c>
      <c r="N609" s="91">
        <v>2</v>
      </c>
      <c r="O609" s="91">
        <v>52.964999999999996</v>
      </c>
      <c r="P609" s="117" t="s">
        <v>60</v>
      </c>
      <c r="Q609" s="117">
        <v>106</v>
      </c>
      <c r="R609" s="117">
        <v>0</v>
      </c>
      <c r="S609" s="117">
        <v>53</v>
      </c>
      <c r="T609" s="117">
        <v>0</v>
      </c>
      <c r="U609" s="117">
        <v>0</v>
      </c>
      <c r="V609" s="117">
        <v>0</v>
      </c>
      <c r="W609" s="117">
        <v>0</v>
      </c>
      <c r="X609" s="117">
        <v>0</v>
      </c>
      <c r="Y609" s="117">
        <v>53</v>
      </c>
      <c r="Z609" s="117">
        <v>0</v>
      </c>
      <c r="AA609" s="117">
        <v>0</v>
      </c>
      <c r="AB609" s="117">
        <v>0</v>
      </c>
      <c r="AC609" s="117">
        <v>0</v>
      </c>
    </row>
    <row r="610" spans="1:29" s="4" customFormat="1" ht="30" customHeight="1" x14ac:dyDescent="0.3">
      <c r="A610" s="73" t="s">
        <v>795</v>
      </c>
      <c r="B610" s="73" t="s">
        <v>641</v>
      </c>
      <c r="C610" s="66" t="s">
        <v>69</v>
      </c>
      <c r="D610" s="73" t="s">
        <v>74</v>
      </c>
      <c r="E610" s="144">
        <v>45</v>
      </c>
      <c r="F610" s="73" t="s">
        <v>80</v>
      </c>
      <c r="G610" s="66">
        <v>21601</v>
      </c>
      <c r="H610" s="80" t="s">
        <v>481</v>
      </c>
      <c r="I610" s="81" t="s">
        <v>348</v>
      </c>
      <c r="J610" s="80" t="s">
        <v>780</v>
      </c>
      <c r="K610" s="91" t="s">
        <v>32</v>
      </c>
      <c r="L610" s="72" t="s">
        <v>32</v>
      </c>
      <c r="M610" s="125" t="s">
        <v>79</v>
      </c>
      <c r="N610" s="91">
        <v>4</v>
      </c>
      <c r="O610" s="91">
        <v>22</v>
      </c>
      <c r="P610" s="117" t="s">
        <v>60</v>
      </c>
      <c r="Q610" s="117">
        <v>88</v>
      </c>
      <c r="R610" s="117">
        <v>0</v>
      </c>
      <c r="S610" s="117">
        <v>22</v>
      </c>
      <c r="T610" s="117">
        <v>0</v>
      </c>
      <c r="U610" s="117">
        <v>0</v>
      </c>
      <c r="V610" s="117">
        <v>22</v>
      </c>
      <c r="W610" s="117">
        <v>0</v>
      </c>
      <c r="X610" s="117">
        <v>0</v>
      </c>
      <c r="Y610" s="117">
        <v>22</v>
      </c>
      <c r="Z610" s="117">
        <v>0</v>
      </c>
      <c r="AA610" s="117">
        <v>0</v>
      </c>
      <c r="AB610" s="117">
        <v>22</v>
      </c>
      <c r="AC610" s="117">
        <v>0</v>
      </c>
    </row>
    <row r="611" spans="1:29" s="4" customFormat="1" ht="30" customHeight="1" x14ac:dyDescent="0.3">
      <c r="A611" s="73" t="s">
        <v>795</v>
      </c>
      <c r="B611" s="73" t="s">
        <v>641</v>
      </c>
      <c r="C611" s="66" t="s">
        <v>69</v>
      </c>
      <c r="D611" s="73" t="s">
        <v>74</v>
      </c>
      <c r="E611" s="144">
        <v>45</v>
      </c>
      <c r="F611" s="73" t="s">
        <v>80</v>
      </c>
      <c r="G611" s="66">
        <v>21601</v>
      </c>
      <c r="H611" s="80" t="s">
        <v>481</v>
      </c>
      <c r="I611" s="81" t="s">
        <v>349</v>
      </c>
      <c r="J611" s="80" t="s">
        <v>78</v>
      </c>
      <c r="K611" s="91" t="s">
        <v>32</v>
      </c>
      <c r="L611" s="72" t="s">
        <v>32</v>
      </c>
      <c r="M611" s="125" t="s">
        <v>54</v>
      </c>
      <c r="N611" s="91">
        <v>2</v>
      </c>
      <c r="O611" s="91">
        <v>93.5</v>
      </c>
      <c r="P611" s="117" t="s">
        <v>60</v>
      </c>
      <c r="Q611" s="117">
        <v>187</v>
      </c>
      <c r="R611" s="117">
        <v>0</v>
      </c>
      <c r="S611" s="117">
        <v>0</v>
      </c>
      <c r="T611" s="117">
        <v>0</v>
      </c>
      <c r="U611" s="117">
        <v>0</v>
      </c>
      <c r="V611" s="117">
        <v>93</v>
      </c>
      <c r="W611" s="117">
        <v>0</v>
      </c>
      <c r="X611" s="117">
        <v>0</v>
      </c>
      <c r="Y611" s="117">
        <v>0</v>
      </c>
      <c r="Z611" s="117">
        <v>0</v>
      </c>
      <c r="AA611" s="117">
        <v>0</v>
      </c>
      <c r="AB611" s="117">
        <v>94</v>
      </c>
      <c r="AC611" s="117">
        <v>0</v>
      </c>
    </row>
    <row r="612" spans="1:29" s="4" customFormat="1" ht="30" customHeight="1" x14ac:dyDescent="0.3">
      <c r="A612" s="73" t="s">
        <v>795</v>
      </c>
      <c r="B612" s="73" t="s">
        <v>641</v>
      </c>
      <c r="C612" s="66" t="s">
        <v>69</v>
      </c>
      <c r="D612" s="73" t="s">
        <v>74</v>
      </c>
      <c r="E612" s="144">
        <v>45</v>
      </c>
      <c r="F612" s="73" t="s">
        <v>80</v>
      </c>
      <c r="G612" s="66">
        <v>21601</v>
      </c>
      <c r="H612" s="80" t="s">
        <v>481</v>
      </c>
      <c r="I612" s="81" t="s">
        <v>350</v>
      </c>
      <c r="J612" s="80" t="s">
        <v>445</v>
      </c>
      <c r="K612" s="91" t="s">
        <v>32</v>
      </c>
      <c r="L612" s="72" t="s">
        <v>32</v>
      </c>
      <c r="M612" s="125" t="s">
        <v>56</v>
      </c>
      <c r="N612" s="91">
        <v>8</v>
      </c>
      <c r="O612" s="91">
        <v>20.9</v>
      </c>
      <c r="P612" s="117" t="s">
        <v>60</v>
      </c>
      <c r="Q612" s="117">
        <v>167</v>
      </c>
      <c r="R612" s="117">
        <v>0</v>
      </c>
      <c r="S612" s="117">
        <v>42</v>
      </c>
      <c r="T612" s="117">
        <v>0</v>
      </c>
      <c r="U612" s="117">
        <v>0</v>
      </c>
      <c r="V612" s="117">
        <v>42</v>
      </c>
      <c r="W612" s="117">
        <v>0</v>
      </c>
      <c r="X612" s="117">
        <v>0</v>
      </c>
      <c r="Y612" s="117">
        <v>42</v>
      </c>
      <c r="Z612" s="117">
        <v>0</v>
      </c>
      <c r="AA612" s="117">
        <v>0</v>
      </c>
      <c r="AB612" s="117">
        <v>41</v>
      </c>
      <c r="AC612" s="117">
        <v>0</v>
      </c>
    </row>
    <row r="613" spans="1:29" s="4" customFormat="1" ht="30" customHeight="1" x14ac:dyDescent="0.3">
      <c r="A613" s="73" t="s">
        <v>795</v>
      </c>
      <c r="B613" s="73" t="s">
        <v>641</v>
      </c>
      <c r="C613" s="66" t="s">
        <v>69</v>
      </c>
      <c r="D613" s="73" t="s">
        <v>74</v>
      </c>
      <c r="E613" s="144">
        <v>88</v>
      </c>
      <c r="F613" s="73" t="s">
        <v>444</v>
      </c>
      <c r="G613" s="66">
        <v>25401</v>
      </c>
      <c r="H613" s="80" t="s">
        <v>485</v>
      </c>
      <c r="I613" s="81" t="s">
        <v>368</v>
      </c>
      <c r="J613" s="80" t="s">
        <v>487</v>
      </c>
      <c r="K613" s="91" t="s">
        <v>32</v>
      </c>
      <c r="L613" s="72" t="s">
        <v>32</v>
      </c>
      <c r="M613" s="145" t="s">
        <v>79</v>
      </c>
      <c r="N613" s="91">
        <v>292</v>
      </c>
      <c r="O613" s="91">
        <v>66</v>
      </c>
      <c r="P613" s="117" t="s">
        <v>60</v>
      </c>
      <c r="Q613" s="117">
        <v>19272</v>
      </c>
      <c r="R613" s="117">
        <v>0</v>
      </c>
      <c r="S613" s="117">
        <v>4818</v>
      </c>
      <c r="T613" s="117">
        <v>0</v>
      </c>
      <c r="U613" s="117">
        <v>0</v>
      </c>
      <c r="V613" s="117">
        <v>4818</v>
      </c>
      <c r="W613" s="117">
        <v>0</v>
      </c>
      <c r="X613" s="117">
        <v>0</v>
      </c>
      <c r="Y613" s="117">
        <v>4818</v>
      </c>
      <c r="Z613" s="117">
        <v>0</v>
      </c>
      <c r="AA613" s="117">
        <v>0</v>
      </c>
      <c r="AB613" s="117">
        <v>4818</v>
      </c>
      <c r="AC613" s="117">
        <v>0</v>
      </c>
    </row>
    <row r="614" spans="1:29" s="4" customFormat="1" ht="30" customHeight="1" x14ac:dyDescent="0.3">
      <c r="A614" s="73" t="s">
        <v>795</v>
      </c>
      <c r="B614" s="73" t="s">
        <v>641</v>
      </c>
      <c r="C614" s="66" t="s">
        <v>69</v>
      </c>
      <c r="D614" s="73" t="s">
        <v>74</v>
      </c>
      <c r="E614" s="144">
        <v>88</v>
      </c>
      <c r="F614" s="73" t="s">
        <v>444</v>
      </c>
      <c r="G614" s="66">
        <v>25401</v>
      </c>
      <c r="H614" s="80" t="s">
        <v>485</v>
      </c>
      <c r="I614" s="81" t="s">
        <v>366</v>
      </c>
      <c r="J614" s="80" t="s">
        <v>486</v>
      </c>
      <c r="K614" s="91" t="s">
        <v>32</v>
      </c>
      <c r="L614" s="72" t="s">
        <v>32</v>
      </c>
      <c r="M614" s="145" t="s">
        <v>54</v>
      </c>
      <c r="N614" s="91">
        <v>2880</v>
      </c>
      <c r="O614" s="91">
        <v>5.5</v>
      </c>
      <c r="P614" s="117" t="s">
        <v>60</v>
      </c>
      <c r="Q614" s="117">
        <v>15840</v>
      </c>
      <c r="R614" s="117">
        <v>0</v>
      </c>
      <c r="S614" s="117">
        <v>3960</v>
      </c>
      <c r="T614" s="117">
        <v>0</v>
      </c>
      <c r="U614" s="117">
        <v>0</v>
      </c>
      <c r="V614" s="117">
        <v>3960</v>
      </c>
      <c r="W614" s="117">
        <v>0</v>
      </c>
      <c r="X614" s="117">
        <v>0</v>
      </c>
      <c r="Y614" s="117">
        <v>3960</v>
      </c>
      <c r="Z614" s="117">
        <v>0</v>
      </c>
      <c r="AA614" s="117">
        <v>0</v>
      </c>
      <c r="AB614" s="117">
        <v>3960</v>
      </c>
      <c r="AC614" s="117">
        <v>0</v>
      </c>
    </row>
    <row r="615" spans="1:29" s="4" customFormat="1" ht="30" customHeight="1" x14ac:dyDescent="0.3">
      <c r="A615" s="73" t="s">
        <v>795</v>
      </c>
      <c r="B615" s="73" t="s">
        <v>641</v>
      </c>
      <c r="C615" s="66" t="s">
        <v>69</v>
      </c>
      <c r="D615" s="73" t="s">
        <v>74</v>
      </c>
      <c r="E615" s="144">
        <v>88</v>
      </c>
      <c r="F615" s="73" t="s">
        <v>444</v>
      </c>
      <c r="G615" s="66">
        <v>25401</v>
      </c>
      <c r="H615" s="80" t="s">
        <v>485</v>
      </c>
      <c r="I615" s="81" t="s">
        <v>786</v>
      </c>
      <c r="J615" s="80" t="s">
        <v>787</v>
      </c>
      <c r="K615" s="91" t="s">
        <v>32</v>
      </c>
      <c r="L615" s="72" t="s">
        <v>32</v>
      </c>
      <c r="M615" s="145" t="s">
        <v>54</v>
      </c>
      <c r="N615" s="91">
        <v>5</v>
      </c>
      <c r="O615" s="91">
        <v>446.6</v>
      </c>
      <c r="P615" s="117" t="s">
        <v>60</v>
      </c>
      <c r="Q615" s="117">
        <v>2233</v>
      </c>
      <c r="R615" s="117">
        <v>0</v>
      </c>
      <c r="S615" s="117">
        <v>893</v>
      </c>
      <c r="T615" s="117">
        <v>0</v>
      </c>
      <c r="U615" s="117">
        <v>0</v>
      </c>
      <c r="V615" s="117">
        <v>0</v>
      </c>
      <c r="W615" s="117">
        <v>0</v>
      </c>
      <c r="X615" s="117">
        <v>0</v>
      </c>
      <c r="Y615" s="117">
        <v>447</v>
      </c>
      <c r="Z615" s="117">
        <v>0</v>
      </c>
      <c r="AA615" s="117">
        <v>0</v>
      </c>
      <c r="AB615" s="117">
        <v>893</v>
      </c>
      <c r="AC615" s="117">
        <v>0</v>
      </c>
    </row>
    <row r="616" spans="1:29" s="4" customFormat="1" ht="30" customHeight="1" x14ac:dyDescent="0.3">
      <c r="A616" s="73" t="s">
        <v>795</v>
      </c>
      <c r="B616" s="73" t="s">
        <v>641</v>
      </c>
      <c r="C616" s="66" t="s">
        <v>69</v>
      </c>
      <c r="D616" s="73" t="s">
        <v>74</v>
      </c>
      <c r="E616" s="144">
        <v>88</v>
      </c>
      <c r="F616" s="73" t="s">
        <v>444</v>
      </c>
      <c r="G616" s="66">
        <v>25401</v>
      </c>
      <c r="H616" s="80" t="s">
        <v>485</v>
      </c>
      <c r="I616" s="81" t="s">
        <v>822</v>
      </c>
      <c r="J616" s="80" t="s">
        <v>823</v>
      </c>
      <c r="K616" s="91" t="s">
        <v>32</v>
      </c>
      <c r="L616" s="72" t="s">
        <v>32</v>
      </c>
      <c r="M616" s="145" t="s">
        <v>54</v>
      </c>
      <c r="N616" s="91">
        <v>2</v>
      </c>
      <c r="O616" s="91">
        <v>319</v>
      </c>
      <c r="P616" s="117" t="s">
        <v>60</v>
      </c>
      <c r="Q616" s="117">
        <v>638</v>
      </c>
      <c r="R616" s="117">
        <v>0</v>
      </c>
      <c r="S616" s="117">
        <v>319</v>
      </c>
      <c r="T616" s="117">
        <v>0</v>
      </c>
      <c r="U616" s="117">
        <v>0</v>
      </c>
      <c r="V616" s="117">
        <v>319</v>
      </c>
      <c r="W616" s="117">
        <v>0</v>
      </c>
      <c r="X616" s="117">
        <v>0</v>
      </c>
      <c r="Y616" s="117">
        <v>0</v>
      </c>
      <c r="Z616" s="117">
        <v>0</v>
      </c>
      <c r="AA616" s="117">
        <v>0</v>
      </c>
      <c r="AB616" s="117">
        <v>0</v>
      </c>
      <c r="AC616" s="117">
        <v>0</v>
      </c>
    </row>
    <row r="617" spans="1:29" s="4" customFormat="1" ht="30" customHeight="1" x14ac:dyDescent="0.3">
      <c r="A617" s="73" t="s">
        <v>795</v>
      </c>
      <c r="B617" s="73" t="s">
        <v>641</v>
      </c>
      <c r="C617" s="66" t="s">
        <v>69</v>
      </c>
      <c r="D617" s="73" t="s">
        <v>74</v>
      </c>
      <c r="E617" s="144">
        <v>45</v>
      </c>
      <c r="F617" s="73" t="s">
        <v>444</v>
      </c>
      <c r="G617" s="66">
        <v>25401</v>
      </c>
      <c r="H617" s="80" t="s">
        <v>485</v>
      </c>
      <c r="I617" s="81" t="s">
        <v>368</v>
      </c>
      <c r="J617" s="80" t="s">
        <v>487</v>
      </c>
      <c r="K617" s="91" t="s">
        <v>32</v>
      </c>
      <c r="L617" s="72" t="s">
        <v>32</v>
      </c>
      <c r="M617" s="145" t="s">
        <v>79</v>
      </c>
      <c r="N617" s="91">
        <v>3</v>
      </c>
      <c r="O617" s="91">
        <v>66</v>
      </c>
      <c r="P617" s="117" t="s">
        <v>60</v>
      </c>
      <c r="Q617" s="117">
        <v>198</v>
      </c>
      <c r="R617" s="117">
        <v>0</v>
      </c>
      <c r="S617" s="117">
        <v>0</v>
      </c>
      <c r="T617" s="117">
        <v>0</v>
      </c>
      <c r="U617" s="117">
        <v>0</v>
      </c>
      <c r="V617" s="117">
        <v>66</v>
      </c>
      <c r="W617" s="117">
        <v>0</v>
      </c>
      <c r="X617" s="117">
        <v>0</v>
      </c>
      <c r="Y617" s="117">
        <v>66</v>
      </c>
      <c r="Z617" s="117">
        <v>0</v>
      </c>
      <c r="AA617" s="117">
        <v>0</v>
      </c>
      <c r="AB617" s="117">
        <v>66</v>
      </c>
      <c r="AC617" s="117">
        <v>0</v>
      </c>
    </row>
    <row r="618" spans="1:29" s="4" customFormat="1" ht="30" customHeight="1" x14ac:dyDescent="0.3">
      <c r="A618" s="73" t="s">
        <v>795</v>
      </c>
      <c r="B618" s="73" t="s">
        <v>641</v>
      </c>
      <c r="C618" s="66" t="s">
        <v>69</v>
      </c>
      <c r="D618" s="73" t="s">
        <v>74</v>
      </c>
      <c r="E618" s="144">
        <v>45</v>
      </c>
      <c r="F618" s="73" t="s">
        <v>444</v>
      </c>
      <c r="G618" s="66">
        <v>25401</v>
      </c>
      <c r="H618" s="80" t="s">
        <v>485</v>
      </c>
      <c r="I618" s="81" t="s">
        <v>366</v>
      </c>
      <c r="J618" s="80" t="s">
        <v>486</v>
      </c>
      <c r="K618" s="91" t="s">
        <v>32</v>
      </c>
      <c r="L618" s="72" t="s">
        <v>32</v>
      </c>
      <c r="M618" s="145" t="s">
        <v>54</v>
      </c>
      <c r="N618" s="91">
        <v>30</v>
      </c>
      <c r="O618" s="91">
        <v>5.5</v>
      </c>
      <c r="P618" s="117" t="s">
        <v>60</v>
      </c>
      <c r="Q618" s="117">
        <v>165</v>
      </c>
      <c r="R618" s="117">
        <v>0</v>
      </c>
      <c r="S618" s="117">
        <v>55</v>
      </c>
      <c r="T618" s="117">
        <v>0</v>
      </c>
      <c r="U618" s="117">
        <v>0</v>
      </c>
      <c r="V618" s="117">
        <v>0</v>
      </c>
      <c r="W618" s="117">
        <v>0</v>
      </c>
      <c r="X618" s="117">
        <v>0</v>
      </c>
      <c r="Y618" s="117">
        <v>55</v>
      </c>
      <c r="Z618" s="117">
        <v>0</v>
      </c>
      <c r="AA618" s="117">
        <v>0</v>
      </c>
      <c r="AB618" s="117">
        <v>55</v>
      </c>
      <c r="AC618" s="117">
        <v>0</v>
      </c>
    </row>
    <row r="619" spans="1:29" s="4" customFormat="1" ht="30" customHeight="1" x14ac:dyDescent="0.3">
      <c r="A619" s="73" t="s">
        <v>795</v>
      </c>
      <c r="B619" s="73" t="s">
        <v>641</v>
      </c>
      <c r="C619" s="66" t="s">
        <v>69</v>
      </c>
      <c r="D619" s="73" t="s">
        <v>74</v>
      </c>
      <c r="E619" s="144">
        <v>45</v>
      </c>
      <c r="F619" s="73" t="s">
        <v>444</v>
      </c>
      <c r="G619" s="66">
        <v>25401</v>
      </c>
      <c r="H619" s="80" t="s">
        <v>485</v>
      </c>
      <c r="I619" s="81" t="s">
        <v>791</v>
      </c>
      <c r="J619" s="80" t="s">
        <v>792</v>
      </c>
      <c r="K619" s="91" t="s">
        <v>32</v>
      </c>
      <c r="L619" s="72" t="s">
        <v>32</v>
      </c>
      <c r="M619" s="145" t="s">
        <v>54</v>
      </c>
      <c r="N619" s="91">
        <v>3</v>
      </c>
      <c r="O619" s="91">
        <v>88</v>
      </c>
      <c r="P619" s="117" t="s">
        <v>60</v>
      </c>
      <c r="Q619" s="117">
        <v>264</v>
      </c>
      <c r="R619" s="117">
        <v>0</v>
      </c>
      <c r="S619" s="117">
        <v>88</v>
      </c>
      <c r="T619" s="117">
        <v>0</v>
      </c>
      <c r="U619" s="117">
        <v>0</v>
      </c>
      <c r="V619" s="117">
        <v>0</v>
      </c>
      <c r="W619" s="117">
        <v>0</v>
      </c>
      <c r="X619" s="117">
        <v>0</v>
      </c>
      <c r="Y619" s="117">
        <v>88</v>
      </c>
      <c r="Z619" s="117">
        <v>0</v>
      </c>
      <c r="AA619" s="117">
        <v>0</v>
      </c>
      <c r="AB619" s="117">
        <v>88</v>
      </c>
      <c r="AC619" s="117">
        <v>0</v>
      </c>
    </row>
    <row r="620" spans="1:29" s="4" customFormat="1" ht="30" customHeight="1" x14ac:dyDescent="0.3">
      <c r="A620" s="73" t="s">
        <v>795</v>
      </c>
      <c r="B620" s="73" t="s">
        <v>641</v>
      </c>
      <c r="C620" s="66" t="s">
        <v>69</v>
      </c>
      <c r="D620" s="73" t="s">
        <v>74</v>
      </c>
      <c r="E620" s="144">
        <v>45</v>
      </c>
      <c r="F620" s="73" t="s">
        <v>444</v>
      </c>
      <c r="G620" s="66">
        <v>25401</v>
      </c>
      <c r="H620" s="80" t="s">
        <v>485</v>
      </c>
      <c r="I620" s="81" t="s">
        <v>368</v>
      </c>
      <c r="J620" s="80" t="s">
        <v>487</v>
      </c>
      <c r="K620" s="91" t="s">
        <v>32</v>
      </c>
      <c r="L620" s="72" t="s">
        <v>32</v>
      </c>
      <c r="M620" s="145" t="s">
        <v>79</v>
      </c>
      <c r="N620" s="91">
        <v>3</v>
      </c>
      <c r="O620" s="91">
        <v>66</v>
      </c>
      <c r="P620" s="117" t="s">
        <v>60</v>
      </c>
      <c r="Q620" s="117">
        <v>198</v>
      </c>
      <c r="R620" s="117">
        <v>0</v>
      </c>
      <c r="S620" s="117">
        <v>66</v>
      </c>
      <c r="T620" s="117">
        <v>0</v>
      </c>
      <c r="U620" s="117">
        <v>0</v>
      </c>
      <c r="V620" s="117">
        <v>0</v>
      </c>
      <c r="W620" s="117">
        <v>0</v>
      </c>
      <c r="X620" s="117">
        <v>0</v>
      </c>
      <c r="Y620" s="117">
        <v>66</v>
      </c>
      <c r="Z620" s="117">
        <v>0</v>
      </c>
      <c r="AA620" s="117">
        <v>0</v>
      </c>
      <c r="AB620" s="117">
        <v>66</v>
      </c>
      <c r="AC620" s="117">
        <v>0</v>
      </c>
    </row>
    <row r="621" spans="1:29" s="4" customFormat="1" ht="30" customHeight="1" x14ac:dyDescent="0.3">
      <c r="A621" s="73" t="s">
        <v>795</v>
      </c>
      <c r="B621" s="73" t="s">
        <v>641</v>
      </c>
      <c r="C621" s="66" t="s">
        <v>69</v>
      </c>
      <c r="D621" s="73" t="s">
        <v>74</v>
      </c>
      <c r="E621" s="144">
        <v>45</v>
      </c>
      <c r="F621" s="73" t="s">
        <v>444</v>
      </c>
      <c r="G621" s="66">
        <v>25401</v>
      </c>
      <c r="H621" s="80" t="s">
        <v>485</v>
      </c>
      <c r="I621" s="81" t="s">
        <v>366</v>
      </c>
      <c r="J621" s="80" t="s">
        <v>486</v>
      </c>
      <c r="K621" s="91" t="s">
        <v>32</v>
      </c>
      <c r="L621" s="72" t="s">
        <v>32</v>
      </c>
      <c r="M621" s="145" t="s">
        <v>54</v>
      </c>
      <c r="N621" s="91">
        <v>30</v>
      </c>
      <c r="O621" s="91">
        <v>5.5</v>
      </c>
      <c r="P621" s="117" t="s">
        <v>60</v>
      </c>
      <c r="Q621" s="117">
        <v>165</v>
      </c>
      <c r="R621" s="117">
        <v>0</v>
      </c>
      <c r="S621" s="117">
        <v>55</v>
      </c>
      <c r="T621" s="117">
        <v>0</v>
      </c>
      <c r="U621" s="117">
        <v>0</v>
      </c>
      <c r="V621" s="117">
        <v>0</v>
      </c>
      <c r="W621" s="117">
        <v>0</v>
      </c>
      <c r="X621" s="117">
        <v>0</v>
      </c>
      <c r="Y621" s="117">
        <v>55</v>
      </c>
      <c r="Z621" s="117">
        <v>0</v>
      </c>
      <c r="AA621" s="117">
        <v>0</v>
      </c>
      <c r="AB621" s="117">
        <v>55</v>
      </c>
      <c r="AC621" s="117">
        <v>0</v>
      </c>
    </row>
    <row r="622" spans="1:29" s="4" customFormat="1" ht="30" customHeight="1" x14ac:dyDescent="0.3">
      <c r="A622" s="73" t="s">
        <v>795</v>
      </c>
      <c r="B622" s="73" t="s">
        <v>641</v>
      </c>
      <c r="C622" s="66" t="s">
        <v>69</v>
      </c>
      <c r="D622" s="73" t="s">
        <v>74</v>
      </c>
      <c r="E622" s="144">
        <v>88</v>
      </c>
      <c r="F622" s="73" t="s">
        <v>87</v>
      </c>
      <c r="G622" s="66">
        <v>21101</v>
      </c>
      <c r="H622" s="80" t="s">
        <v>500</v>
      </c>
      <c r="I622" s="81" t="s">
        <v>796</v>
      </c>
      <c r="J622" s="80" t="s">
        <v>797</v>
      </c>
      <c r="K622" s="91" t="s">
        <v>32</v>
      </c>
      <c r="L622" s="72" t="s">
        <v>32</v>
      </c>
      <c r="M622" s="146" t="s">
        <v>54</v>
      </c>
      <c r="N622" s="91">
        <v>6</v>
      </c>
      <c r="O622" s="91">
        <v>208.626</v>
      </c>
      <c r="P622" s="117" t="s">
        <v>60</v>
      </c>
      <c r="Q622" s="117">
        <v>1252</v>
      </c>
      <c r="R622" s="117">
        <v>0</v>
      </c>
      <c r="S622" s="117">
        <v>0</v>
      </c>
      <c r="T622" s="117">
        <v>0</v>
      </c>
      <c r="U622" s="117">
        <v>0</v>
      </c>
      <c r="V622" s="117">
        <v>0</v>
      </c>
      <c r="W622" s="117">
        <v>0</v>
      </c>
      <c r="X622" s="117">
        <v>0</v>
      </c>
      <c r="Y622" s="117">
        <v>0</v>
      </c>
      <c r="Z622" s="117">
        <v>0</v>
      </c>
      <c r="AA622" s="117">
        <v>0</v>
      </c>
      <c r="AB622" s="117">
        <v>1252</v>
      </c>
      <c r="AC622" s="117">
        <v>0</v>
      </c>
    </row>
    <row r="623" spans="1:29" s="4" customFormat="1" ht="30" customHeight="1" x14ac:dyDescent="0.3">
      <c r="A623" s="73" t="s">
        <v>795</v>
      </c>
      <c r="B623" s="73" t="s">
        <v>641</v>
      </c>
      <c r="C623" s="66" t="s">
        <v>69</v>
      </c>
      <c r="D623" s="73" t="s">
        <v>74</v>
      </c>
      <c r="E623" s="144">
        <v>88</v>
      </c>
      <c r="F623" s="73" t="s">
        <v>87</v>
      </c>
      <c r="G623" s="66">
        <v>21101</v>
      </c>
      <c r="H623" s="80" t="s">
        <v>500</v>
      </c>
      <c r="I623" s="81" t="s">
        <v>824</v>
      </c>
      <c r="J623" s="80" t="s">
        <v>825</v>
      </c>
      <c r="K623" s="91" t="s">
        <v>32</v>
      </c>
      <c r="L623" s="72" t="s">
        <v>32</v>
      </c>
      <c r="M623" s="146" t="s">
        <v>54</v>
      </c>
      <c r="N623" s="91">
        <v>1</v>
      </c>
      <c r="O623" s="91">
        <v>51</v>
      </c>
      <c r="P623" s="117" t="s">
        <v>60</v>
      </c>
      <c r="Q623" s="117">
        <v>51</v>
      </c>
      <c r="R623" s="117">
        <v>0</v>
      </c>
      <c r="S623" s="117">
        <v>0</v>
      </c>
      <c r="T623" s="117">
        <v>0</v>
      </c>
      <c r="U623" s="117">
        <v>0</v>
      </c>
      <c r="V623" s="117">
        <v>0</v>
      </c>
      <c r="W623" s="117">
        <v>0</v>
      </c>
      <c r="X623" s="117">
        <v>0</v>
      </c>
      <c r="Y623" s="117">
        <v>51</v>
      </c>
      <c r="Z623" s="117">
        <v>0</v>
      </c>
      <c r="AA623" s="117">
        <v>0</v>
      </c>
      <c r="AB623" s="117">
        <v>0</v>
      </c>
      <c r="AC623" s="117">
        <v>0</v>
      </c>
    </row>
    <row r="624" spans="1:29" s="4" customFormat="1" ht="30" customHeight="1" x14ac:dyDescent="0.3">
      <c r="A624" s="73" t="s">
        <v>795</v>
      </c>
      <c r="B624" s="73" t="s">
        <v>641</v>
      </c>
      <c r="C624" s="66" t="s">
        <v>69</v>
      </c>
      <c r="D624" s="73" t="s">
        <v>74</v>
      </c>
      <c r="E624" s="144">
        <v>88</v>
      </c>
      <c r="F624" s="73" t="s">
        <v>87</v>
      </c>
      <c r="G624" s="66">
        <v>21101</v>
      </c>
      <c r="H624" s="80" t="s">
        <v>500</v>
      </c>
      <c r="I624" s="81" t="s">
        <v>826</v>
      </c>
      <c r="J624" s="80" t="s">
        <v>827</v>
      </c>
      <c r="K624" s="91" t="s">
        <v>32</v>
      </c>
      <c r="L624" s="72" t="s">
        <v>32</v>
      </c>
      <c r="M624" s="146" t="s">
        <v>54</v>
      </c>
      <c r="N624" s="91">
        <v>1</v>
      </c>
      <c r="O624" s="91">
        <v>52.25</v>
      </c>
      <c r="P624" s="117" t="s">
        <v>60</v>
      </c>
      <c r="Q624" s="117">
        <v>52</v>
      </c>
      <c r="R624" s="117">
        <v>0</v>
      </c>
      <c r="S624" s="117">
        <v>52</v>
      </c>
      <c r="T624" s="117">
        <v>0</v>
      </c>
      <c r="U624" s="117">
        <v>0</v>
      </c>
      <c r="V624" s="117">
        <v>0</v>
      </c>
      <c r="W624" s="117">
        <v>0</v>
      </c>
      <c r="X624" s="117">
        <v>0</v>
      </c>
      <c r="Y624" s="117">
        <v>0</v>
      </c>
      <c r="Z624" s="117">
        <v>0</v>
      </c>
      <c r="AA624" s="117">
        <v>0</v>
      </c>
      <c r="AB624" s="117">
        <v>0</v>
      </c>
      <c r="AC624" s="117">
        <v>0</v>
      </c>
    </row>
    <row r="625" spans="1:29" s="4" customFormat="1" ht="30" customHeight="1" x14ac:dyDescent="0.3">
      <c r="A625" s="73" t="s">
        <v>795</v>
      </c>
      <c r="B625" s="73" t="s">
        <v>641</v>
      </c>
      <c r="C625" s="66" t="s">
        <v>69</v>
      </c>
      <c r="D625" s="73" t="s">
        <v>74</v>
      </c>
      <c r="E625" s="144">
        <v>88</v>
      </c>
      <c r="F625" s="73" t="s">
        <v>87</v>
      </c>
      <c r="G625" s="66">
        <v>21101</v>
      </c>
      <c r="H625" s="80" t="s">
        <v>500</v>
      </c>
      <c r="I625" s="81" t="s">
        <v>828</v>
      </c>
      <c r="J625" s="80" t="s">
        <v>645</v>
      </c>
      <c r="K625" s="91" t="s">
        <v>32</v>
      </c>
      <c r="L625" s="72" t="s">
        <v>32</v>
      </c>
      <c r="M625" s="146" t="s">
        <v>54</v>
      </c>
      <c r="N625" s="91">
        <v>100</v>
      </c>
      <c r="O625" s="91">
        <v>4.18</v>
      </c>
      <c r="P625" s="117" t="s">
        <v>60</v>
      </c>
      <c r="Q625" s="117">
        <v>418</v>
      </c>
      <c r="R625" s="117">
        <v>0</v>
      </c>
      <c r="S625" s="117">
        <v>0</v>
      </c>
      <c r="T625" s="117">
        <v>0</v>
      </c>
      <c r="U625" s="117">
        <v>0</v>
      </c>
      <c r="V625" s="117">
        <v>209</v>
      </c>
      <c r="W625" s="117">
        <v>0</v>
      </c>
      <c r="X625" s="117">
        <v>0</v>
      </c>
      <c r="Y625" s="117">
        <v>209</v>
      </c>
      <c r="Z625" s="117">
        <v>0</v>
      </c>
      <c r="AA625" s="117">
        <v>0</v>
      </c>
      <c r="AB625" s="117">
        <v>0</v>
      </c>
      <c r="AC625" s="117">
        <v>0</v>
      </c>
    </row>
    <row r="626" spans="1:29" s="4" customFormat="1" ht="30" customHeight="1" x14ac:dyDescent="0.3">
      <c r="A626" s="73" t="s">
        <v>795</v>
      </c>
      <c r="B626" s="73" t="s">
        <v>641</v>
      </c>
      <c r="C626" s="66" t="s">
        <v>69</v>
      </c>
      <c r="D626" s="73" t="s">
        <v>74</v>
      </c>
      <c r="E626" s="144">
        <v>88</v>
      </c>
      <c r="F626" s="73" t="s">
        <v>87</v>
      </c>
      <c r="G626" s="66">
        <v>21101</v>
      </c>
      <c r="H626" s="80" t="s">
        <v>500</v>
      </c>
      <c r="I626" s="81" t="s">
        <v>812</v>
      </c>
      <c r="J626" s="80" t="s">
        <v>813</v>
      </c>
      <c r="K626" s="91" t="s">
        <v>32</v>
      </c>
      <c r="L626" s="72" t="s">
        <v>32</v>
      </c>
      <c r="M626" s="146" t="s">
        <v>54</v>
      </c>
      <c r="N626" s="91">
        <v>100</v>
      </c>
      <c r="O626" s="91">
        <v>4.18</v>
      </c>
      <c r="P626" s="117" t="s">
        <v>60</v>
      </c>
      <c r="Q626" s="117">
        <v>418</v>
      </c>
      <c r="R626" s="117">
        <v>0</v>
      </c>
      <c r="S626" s="117">
        <v>0</v>
      </c>
      <c r="T626" s="117">
        <v>0</v>
      </c>
      <c r="U626" s="117">
        <v>0</v>
      </c>
      <c r="V626" s="117">
        <v>209</v>
      </c>
      <c r="W626" s="117">
        <v>0</v>
      </c>
      <c r="X626" s="117">
        <v>0</v>
      </c>
      <c r="Y626" s="117">
        <v>209</v>
      </c>
      <c r="Z626" s="117">
        <v>0</v>
      </c>
      <c r="AA626" s="117">
        <v>0</v>
      </c>
      <c r="AB626" s="117">
        <v>0</v>
      </c>
      <c r="AC626" s="117">
        <v>0</v>
      </c>
    </row>
    <row r="627" spans="1:29" s="4" customFormat="1" ht="30" customHeight="1" x14ac:dyDescent="0.3">
      <c r="A627" s="73" t="s">
        <v>795</v>
      </c>
      <c r="B627" s="73" t="s">
        <v>641</v>
      </c>
      <c r="C627" s="66" t="s">
        <v>69</v>
      </c>
      <c r="D627" s="73" t="s">
        <v>74</v>
      </c>
      <c r="E627" s="144">
        <v>88</v>
      </c>
      <c r="F627" s="73" t="s">
        <v>87</v>
      </c>
      <c r="G627" s="66">
        <v>21101</v>
      </c>
      <c r="H627" s="80" t="s">
        <v>500</v>
      </c>
      <c r="I627" s="81" t="s">
        <v>272</v>
      </c>
      <c r="J627" s="80" t="s">
        <v>33</v>
      </c>
      <c r="K627" s="91" t="s">
        <v>32</v>
      </c>
      <c r="L627" s="72" t="s">
        <v>32</v>
      </c>
      <c r="M627" s="146" t="s">
        <v>54</v>
      </c>
      <c r="N627" s="91">
        <v>72</v>
      </c>
      <c r="O627" s="91">
        <v>4.18</v>
      </c>
      <c r="P627" s="117" t="s">
        <v>60</v>
      </c>
      <c r="Q627" s="117">
        <v>301</v>
      </c>
      <c r="R627" s="117">
        <v>0</v>
      </c>
      <c r="S627" s="117">
        <v>75</v>
      </c>
      <c r="T627" s="117">
        <v>0</v>
      </c>
      <c r="U627" s="117">
        <v>0</v>
      </c>
      <c r="V627" s="117">
        <v>75</v>
      </c>
      <c r="W627" s="117">
        <v>0</v>
      </c>
      <c r="X627" s="117">
        <v>0</v>
      </c>
      <c r="Y627" s="117">
        <v>75</v>
      </c>
      <c r="Z627" s="117">
        <v>0</v>
      </c>
      <c r="AA627" s="117">
        <v>0</v>
      </c>
      <c r="AB627" s="117">
        <v>76</v>
      </c>
      <c r="AC627" s="117">
        <v>0</v>
      </c>
    </row>
    <row r="628" spans="1:29" s="4" customFormat="1" ht="30" customHeight="1" x14ac:dyDescent="0.3">
      <c r="A628" s="73" t="s">
        <v>795</v>
      </c>
      <c r="B628" s="73" t="s">
        <v>641</v>
      </c>
      <c r="C628" s="66" t="s">
        <v>69</v>
      </c>
      <c r="D628" s="73" t="s">
        <v>74</v>
      </c>
      <c r="E628" s="144">
        <v>88</v>
      </c>
      <c r="F628" s="73" t="s">
        <v>87</v>
      </c>
      <c r="G628" s="66">
        <v>21101</v>
      </c>
      <c r="H628" s="80" t="s">
        <v>500</v>
      </c>
      <c r="I628" s="81" t="s">
        <v>829</v>
      </c>
      <c r="J628" s="80" t="s">
        <v>830</v>
      </c>
      <c r="K628" s="91" t="s">
        <v>32</v>
      </c>
      <c r="L628" s="72" t="s">
        <v>32</v>
      </c>
      <c r="M628" s="145" t="s">
        <v>59</v>
      </c>
      <c r="N628" s="91">
        <v>1</v>
      </c>
      <c r="O628" s="91">
        <v>207.9</v>
      </c>
      <c r="P628" s="117" t="s">
        <v>60</v>
      </c>
      <c r="Q628" s="117">
        <v>208</v>
      </c>
      <c r="R628" s="117">
        <v>0</v>
      </c>
      <c r="S628" s="117">
        <v>208</v>
      </c>
      <c r="T628" s="117">
        <v>0</v>
      </c>
      <c r="U628" s="117">
        <v>0</v>
      </c>
      <c r="V628" s="117">
        <v>0</v>
      </c>
      <c r="W628" s="117">
        <v>0</v>
      </c>
      <c r="X628" s="117">
        <v>0</v>
      </c>
      <c r="Y628" s="117">
        <v>0</v>
      </c>
      <c r="Z628" s="117">
        <v>0</v>
      </c>
      <c r="AA628" s="117">
        <v>0</v>
      </c>
      <c r="AB628" s="117">
        <v>0</v>
      </c>
      <c r="AC628" s="117">
        <v>0</v>
      </c>
    </row>
    <row r="629" spans="1:29" s="4" customFormat="1" ht="30" customHeight="1" x14ac:dyDescent="0.3">
      <c r="A629" s="73" t="s">
        <v>795</v>
      </c>
      <c r="B629" s="73" t="s">
        <v>641</v>
      </c>
      <c r="C629" s="66" t="s">
        <v>69</v>
      </c>
      <c r="D629" s="73" t="s">
        <v>74</v>
      </c>
      <c r="E629" s="144">
        <v>88</v>
      </c>
      <c r="F629" s="73" t="s">
        <v>87</v>
      </c>
      <c r="G629" s="66">
        <v>21101</v>
      </c>
      <c r="H629" s="80" t="s">
        <v>500</v>
      </c>
      <c r="I629" s="81" t="s">
        <v>814</v>
      </c>
      <c r="J629" s="80" t="s">
        <v>815</v>
      </c>
      <c r="K629" s="91" t="s">
        <v>32</v>
      </c>
      <c r="L629" s="72" t="s">
        <v>32</v>
      </c>
      <c r="M629" s="146" t="s">
        <v>54</v>
      </c>
      <c r="N629" s="91">
        <v>6</v>
      </c>
      <c r="O629" s="91">
        <v>24.2</v>
      </c>
      <c r="P629" s="117" t="s">
        <v>60</v>
      </c>
      <c r="Q629" s="117">
        <v>145</v>
      </c>
      <c r="R629" s="117">
        <v>0</v>
      </c>
      <c r="S629" s="117">
        <v>73</v>
      </c>
      <c r="T629" s="117">
        <v>0</v>
      </c>
      <c r="U629" s="117">
        <v>0</v>
      </c>
      <c r="V629" s="117">
        <v>0</v>
      </c>
      <c r="W629" s="117">
        <v>0</v>
      </c>
      <c r="X629" s="117">
        <v>0</v>
      </c>
      <c r="Y629" s="117">
        <v>72</v>
      </c>
      <c r="Z629" s="117">
        <v>0</v>
      </c>
      <c r="AA629" s="117">
        <v>0</v>
      </c>
      <c r="AB629" s="117">
        <v>0</v>
      </c>
      <c r="AC629" s="117">
        <v>0</v>
      </c>
    </row>
    <row r="630" spans="1:29" s="4" customFormat="1" ht="30" customHeight="1" x14ac:dyDescent="0.3">
      <c r="A630" s="73" t="s">
        <v>795</v>
      </c>
      <c r="B630" s="73" t="s">
        <v>641</v>
      </c>
      <c r="C630" s="66" t="s">
        <v>69</v>
      </c>
      <c r="D630" s="73" t="s">
        <v>74</v>
      </c>
      <c r="E630" s="144">
        <v>88</v>
      </c>
      <c r="F630" s="73" t="s">
        <v>87</v>
      </c>
      <c r="G630" s="66">
        <v>21101</v>
      </c>
      <c r="H630" s="80" t="s">
        <v>500</v>
      </c>
      <c r="I630" s="81" t="s">
        <v>253</v>
      </c>
      <c r="J630" s="80" t="s">
        <v>34</v>
      </c>
      <c r="K630" s="91" t="s">
        <v>32</v>
      </c>
      <c r="L630" s="72" t="s">
        <v>32</v>
      </c>
      <c r="M630" s="146" t="s">
        <v>54</v>
      </c>
      <c r="N630" s="91">
        <v>6</v>
      </c>
      <c r="O630" s="91">
        <v>24.2</v>
      </c>
      <c r="P630" s="117" t="s">
        <v>60</v>
      </c>
      <c r="Q630" s="117">
        <v>145</v>
      </c>
      <c r="R630" s="117">
        <v>0</v>
      </c>
      <c r="S630" s="117">
        <v>73</v>
      </c>
      <c r="T630" s="117">
        <v>0</v>
      </c>
      <c r="U630" s="117">
        <v>0</v>
      </c>
      <c r="V630" s="117">
        <v>0</v>
      </c>
      <c r="W630" s="117">
        <v>0</v>
      </c>
      <c r="X630" s="117">
        <v>0</v>
      </c>
      <c r="Y630" s="117">
        <v>72</v>
      </c>
      <c r="Z630" s="117">
        <v>0</v>
      </c>
      <c r="AA630" s="117">
        <v>0</v>
      </c>
      <c r="AB630" s="117">
        <v>0</v>
      </c>
      <c r="AC630" s="117">
        <v>0</v>
      </c>
    </row>
    <row r="631" spans="1:29" s="4" customFormat="1" ht="30" customHeight="1" x14ac:dyDescent="0.3">
      <c r="A631" s="73" t="s">
        <v>795</v>
      </c>
      <c r="B631" s="73" t="s">
        <v>641</v>
      </c>
      <c r="C631" s="66" t="s">
        <v>69</v>
      </c>
      <c r="D631" s="73" t="s">
        <v>74</v>
      </c>
      <c r="E631" s="144">
        <v>88</v>
      </c>
      <c r="F631" s="73" t="s">
        <v>87</v>
      </c>
      <c r="G631" s="66">
        <v>21101</v>
      </c>
      <c r="H631" s="80" t="s">
        <v>500</v>
      </c>
      <c r="I631" s="81" t="s">
        <v>816</v>
      </c>
      <c r="J631" s="80" t="s">
        <v>817</v>
      </c>
      <c r="K631" s="91" t="s">
        <v>32</v>
      </c>
      <c r="L631" s="72" t="s">
        <v>32</v>
      </c>
      <c r="M631" s="146" t="s">
        <v>54</v>
      </c>
      <c r="N631" s="91">
        <v>6</v>
      </c>
      <c r="O631" s="91">
        <v>24.2</v>
      </c>
      <c r="P631" s="117" t="s">
        <v>60</v>
      </c>
      <c r="Q631" s="117">
        <v>145</v>
      </c>
      <c r="R631" s="117">
        <v>0</v>
      </c>
      <c r="S631" s="117">
        <v>0</v>
      </c>
      <c r="T631" s="117">
        <v>0</v>
      </c>
      <c r="U631" s="117">
        <v>0</v>
      </c>
      <c r="V631" s="117">
        <v>73</v>
      </c>
      <c r="W631" s="117">
        <v>0</v>
      </c>
      <c r="X631" s="117">
        <v>0</v>
      </c>
      <c r="Y631" s="117">
        <v>0</v>
      </c>
      <c r="Z631" s="117">
        <v>0</v>
      </c>
      <c r="AA631" s="117">
        <v>0</v>
      </c>
      <c r="AB631" s="117">
        <v>72</v>
      </c>
      <c r="AC631" s="117">
        <v>0</v>
      </c>
    </row>
    <row r="632" spans="1:29" s="4" customFormat="1" ht="30" customHeight="1" x14ac:dyDescent="0.3">
      <c r="A632" s="73" t="s">
        <v>795</v>
      </c>
      <c r="B632" s="73" t="s">
        <v>641</v>
      </c>
      <c r="C632" s="66" t="s">
        <v>69</v>
      </c>
      <c r="D632" s="73" t="s">
        <v>74</v>
      </c>
      <c r="E632" s="144">
        <v>88</v>
      </c>
      <c r="F632" s="73" t="s">
        <v>87</v>
      </c>
      <c r="G632" s="66">
        <v>21101</v>
      </c>
      <c r="H632" s="80" t="s">
        <v>500</v>
      </c>
      <c r="I632" s="81" t="s">
        <v>831</v>
      </c>
      <c r="J632" s="80" t="s">
        <v>832</v>
      </c>
      <c r="K632" s="91" t="s">
        <v>32</v>
      </c>
      <c r="L632" s="72" t="s">
        <v>32</v>
      </c>
      <c r="M632" s="146" t="s">
        <v>54</v>
      </c>
      <c r="N632" s="91">
        <v>6</v>
      </c>
      <c r="O632" s="91">
        <v>24.2</v>
      </c>
      <c r="P632" s="117" t="s">
        <v>60</v>
      </c>
      <c r="Q632" s="117">
        <v>145</v>
      </c>
      <c r="R632" s="117">
        <v>0</v>
      </c>
      <c r="S632" s="117">
        <v>72</v>
      </c>
      <c r="T632" s="117">
        <v>0</v>
      </c>
      <c r="U632" s="117">
        <v>0</v>
      </c>
      <c r="V632" s="117">
        <v>0</v>
      </c>
      <c r="W632" s="117">
        <v>0</v>
      </c>
      <c r="X632" s="117">
        <v>0</v>
      </c>
      <c r="Y632" s="117">
        <v>73</v>
      </c>
      <c r="Z632" s="117">
        <v>0</v>
      </c>
      <c r="AA632" s="117">
        <v>0</v>
      </c>
      <c r="AB632" s="117">
        <v>0</v>
      </c>
      <c r="AC632" s="117">
        <v>0</v>
      </c>
    </row>
    <row r="633" spans="1:29" s="4" customFormat="1" ht="30" customHeight="1" x14ac:dyDescent="0.3">
      <c r="A633" s="73" t="s">
        <v>795</v>
      </c>
      <c r="B633" s="73" t="s">
        <v>641</v>
      </c>
      <c r="C633" s="66" t="s">
        <v>69</v>
      </c>
      <c r="D633" s="73" t="s">
        <v>74</v>
      </c>
      <c r="E633" s="144">
        <v>88</v>
      </c>
      <c r="F633" s="73" t="s">
        <v>87</v>
      </c>
      <c r="G633" s="66">
        <v>21101</v>
      </c>
      <c r="H633" s="80" t="s">
        <v>500</v>
      </c>
      <c r="I633" s="81" t="s">
        <v>270</v>
      </c>
      <c r="J633" s="80" t="s">
        <v>35</v>
      </c>
      <c r="K633" s="91" t="s">
        <v>32</v>
      </c>
      <c r="L633" s="72" t="s">
        <v>32</v>
      </c>
      <c r="M633" s="146" t="s">
        <v>54</v>
      </c>
      <c r="N633" s="91">
        <v>6</v>
      </c>
      <c r="O633" s="91">
        <v>13.870999999999999</v>
      </c>
      <c r="P633" s="117" t="s">
        <v>60</v>
      </c>
      <c r="Q633" s="117">
        <v>83</v>
      </c>
      <c r="R633" s="117">
        <v>0</v>
      </c>
      <c r="S633" s="117">
        <v>42</v>
      </c>
      <c r="T633" s="117">
        <v>0</v>
      </c>
      <c r="U633" s="117">
        <v>0</v>
      </c>
      <c r="V633" s="117">
        <v>0</v>
      </c>
      <c r="W633" s="117">
        <v>0</v>
      </c>
      <c r="X633" s="117">
        <v>0</v>
      </c>
      <c r="Y633" s="117">
        <v>41</v>
      </c>
      <c r="Z633" s="117">
        <v>0</v>
      </c>
      <c r="AA633" s="117">
        <v>0</v>
      </c>
      <c r="AB633" s="117">
        <v>0</v>
      </c>
      <c r="AC633" s="117">
        <v>0</v>
      </c>
    </row>
    <row r="634" spans="1:29" s="4" customFormat="1" ht="30" customHeight="1" x14ac:dyDescent="0.3">
      <c r="A634" s="73" t="s">
        <v>795</v>
      </c>
      <c r="B634" s="73" t="s">
        <v>641</v>
      </c>
      <c r="C634" s="66" t="s">
        <v>69</v>
      </c>
      <c r="D634" s="73" t="s">
        <v>74</v>
      </c>
      <c r="E634" s="144">
        <v>88</v>
      </c>
      <c r="F634" s="73" t="s">
        <v>87</v>
      </c>
      <c r="G634" s="66">
        <v>21101</v>
      </c>
      <c r="H634" s="80" t="s">
        <v>500</v>
      </c>
      <c r="I634" s="81" t="s">
        <v>325</v>
      </c>
      <c r="J634" s="80" t="s">
        <v>76</v>
      </c>
      <c r="K634" s="91" t="s">
        <v>32</v>
      </c>
      <c r="L634" s="72" t="s">
        <v>32</v>
      </c>
      <c r="M634" s="146" t="s">
        <v>54</v>
      </c>
      <c r="N634" s="91">
        <v>6</v>
      </c>
      <c r="O634" s="91">
        <v>13.870999999999999</v>
      </c>
      <c r="P634" s="117" t="s">
        <v>60</v>
      </c>
      <c r="Q634" s="117">
        <v>83</v>
      </c>
      <c r="R634" s="117">
        <v>0</v>
      </c>
      <c r="S634" s="117">
        <v>28</v>
      </c>
      <c r="T634" s="117">
        <v>0</v>
      </c>
      <c r="U634" s="117">
        <v>0</v>
      </c>
      <c r="V634" s="117">
        <v>27</v>
      </c>
      <c r="W634" s="117">
        <v>0</v>
      </c>
      <c r="X634" s="117">
        <v>0</v>
      </c>
      <c r="Y634" s="117">
        <v>28</v>
      </c>
      <c r="Z634" s="117">
        <v>0</v>
      </c>
      <c r="AA634" s="117">
        <v>0</v>
      </c>
      <c r="AB634" s="117">
        <v>0</v>
      </c>
      <c r="AC634" s="117">
        <v>0</v>
      </c>
    </row>
    <row r="635" spans="1:29" s="4" customFormat="1" ht="30" customHeight="1" x14ac:dyDescent="0.3">
      <c r="A635" s="73" t="s">
        <v>795</v>
      </c>
      <c r="B635" s="73" t="s">
        <v>641</v>
      </c>
      <c r="C635" s="66" t="s">
        <v>69</v>
      </c>
      <c r="D635" s="73" t="s">
        <v>74</v>
      </c>
      <c r="E635" s="144">
        <v>88</v>
      </c>
      <c r="F635" s="73" t="s">
        <v>87</v>
      </c>
      <c r="G635" s="66">
        <v>21101</v>
      </c>
      <c r="H635" s="80" t="s">
        <v>500</v>
      </c>
      <c r="I635" s="81" t="s">
        <v>802</v>
      </c>
      <c r="J635" s="80" t="s">
        <v>803</v>
      </c>
      <c r="K635" s="91" t="s">
        <v>32</v>
      </c>
      <c r="L635" s="72" t="s">
        <v>32</v>
      </c>
      <c r="M635" s="146" t="s">
        <v>54</v>
      </c>
      <c r="N635" s="91">
        <v>6</v>
      </c>
      <c r="O635" s="91">
        <v>13.870999999999999</v>
      </c>
      <c r="P635" s="117" t="s">
        <v>60</v>
      </c>
      <c r="Q635" s="117">
        <v>83</v>
      </c>
      <c r="R635" s="117">
        <v>0</v>
      </c>
      <c r="S635" s="117">
        <v>27</v>
      </c>
      <c r="T635" s="117">
        <v>0</v>
      </c>
      <c r="U635" s="117">
        <v>0</v>
      </c>
      <c r="V635" s="117">
        <v>28</v>
      </c>
      <c r="W635" s="117">
        <v>0</v>
      </c>
      <c r="X635" s="117">
        <v>0</v>
      </c>
      <c r="Y635" s="117">
        <v>28</v>
      </c>
      <c r="Z635" s="117">
        <v>0</v>
      </c>
      <c r="AA635" s="117">
        <v>0</v>
      </c>
      <c r="AB635" s="117">
        <v>0</v>
      </c>
      <c r="AC635" s="117">
        <v>0</v>
      </c>
    </row>
    <row r="636" spans="1:29" s="4" customFormat="1" ht="30" customHeight="1" x14ac:dyDescent="0.3">
      <c r="A636" s="73" t="s">
        <v>795</v>
      </c>
      <c r="B636" s="73" t="s">
        <v>641</v>
      </c>
      <c r="C636" s="66" t="s">
        <v>69</v>
      </c>
      <c r="D636" s="73" t="s">
        <v>74</v>
      </c>
      <c r="E636" s="144">
        <v>88</v>
      </c>
      <c r="F636" s="73" t="s">
        <v>87</v>
      </c>
      <c r="G636" s="66">
        <v>21101</v>
      </c>
      <c r="H636" s="80" t="s">
        <v>500</v>
      </c>
      <c r="I636" s="81" t="s">
        <v>289</v>
      </c>
      <c r="J636" s="80" t="s">
        <v>77</v>
      </c>
      <c r="K636" s="91" t="s">
        <v>32</v>
      </c>
      <c r="L636" s="72" t="s">
        <v>32</v>
      </c>
      <c r="M636" s="146" t="s">
        <v>54</v>
      </c>
      <c r="N636" s="91">
        <v>6</v>
      </c>
      <c r="O636" s="91">
        <v>13.870999999999999</v>
      </c>
      <c r="P636" s="117" t="s">
        <v>60</v>
      </c>
      <c r="Q636" s="117">
        <v>83</v>
      </c>
      <c r="R636" s="117">
        <v>0</v>
      </c>
      <c r="S636" s="117">
        <v>28</v>
      </c>
      <c r="T636" s="117">
        <v>0</v>
      </c>
      <c r="U636" s="117">
        <v>0</v>
      </c>
      <c r="V636" s="117">
        <v>27</v>
      </c>
      <c r="W636" s="117">
        <v>0</v>
      </c>
      <c r="X636" s="117">
        <v>0</v>
      </c>
      <c r="Y636" s="117">
        <v>28</v>
      </c>
      <c r="Z636" s="117">
        <v>0</v>
      </c>
      <c r="AA636" s="117">
        <v>0</v>
      </c>
      <c r="AB636" s="117">
        <v>0</v>
      </c>
      <c r="AC636" s="117">
        <v>0</v>
      </c>
    </row>
    <row r="637" spans="1:29" s="4" customFormat="1" ht="30" customHeight="1" x14ac:dyDescent="0.3">
      <c r="A637" s="73" t="s">
        <v>795</v>
      </c>
      <c r="B637" s="73" t="s">
        <v>641</v>
      </c>
      <c r="C637" s="66" t="s">
        <v>69</v>
      </c>
      <c r="D637" s="73" t="s">
        <v>74</v>
      </c>
      <c r="E637" s="144">
        <v>88</v>
      </c>
      <c r="F637" s="73" t="s">
        <v>87</v>
      </c>
      <c r="G637" s="66">
        <v>21101</v>
      </c>
      <c r="H637" s="80" t="s">
        <v>500</v>
      </c>
      <c r="I637" s="81" t="s">
        <v>804</v>
      </c>
      <c r="J637" s="80" t="s">
        <v>805</v>
      </c>
      <c r="K637" s="91" t="s">
        <v>32</v>
      </c>
      <c r="L637" s="72" t="s">
        <v>32</v>
      </c>
      <c r="M637" s="146" t="s">
        <v>54</v>
      </c>
      <c r="N637" s="91">
        <v>6</v>
      </c>
      <c r="O637" s="91">
        <v>13.870999999999999</v>
      </c>
      <c r="P637" s="117" t="s">
        <v>60</v>
      </c>
      <c r="Q637" s="117">
        <v>83</v>
      </c>
      <c r="R637" s="117">
        <v>0</v>
      </c>
      <c r="S637" s="117">
        <v>28</v>
      </c>
      <c r="T637" s="117">
        <v>0</v>
      </c>
      <c r="U637" s="117">
        <v>0</v>
      </c>
      <c r="V637" s="117">
        <v>27</v>
      </c>
      <c r="W637" s="117">
        <v>0</v>
      </c>
      <c r="X637" s="117">
        <v>0</v>
      </c>
      <c r="Y637" s="117">
        <v>28</v>
      </c>
      <c r="Z637" s="117">
        <v>0</v>
      </c>
      <c r="AA637" s="117">
        <v>0</v>
      </c>
      <c r="AB637" s="117">
        <v>0</v>
      </c>
      <c r="AC637" s="117">
        <v>0</v>
      </c>
    </row>
    <row r="638" spans="1:29" s="4" customFormat="1" ht="30" customHeight="1" x14ac:dyDescent="0.3">
      <c r="A638" s="73" t="s">
        <v>795</v>
      </c>
      <c r="B638" s="73" t="s">
        <v>641</v>
      </c>
      <c r="C638" s="66" t="s">
        <v>69</v>
      </c>
      <c r="D638" s="73" t="s">
        <v>74</v>
      </c>
      <c r="E638" s="144">
        <v>88</v>
      </c>
      <c r="F638" s="73" t="s">
        <v>87</v>
      </c>
      <c r="G638" s="66">
        <v>21101</v>
      </c>
      <c r="H638" s="80" t="s">
        <v>500</v>
      </c>
      <c r="I638" s="81" t="s">
        <v>833</v>
      </c>
      <c r="J638" s="80" t="s">
        <v>834</v>
      </c>
      <c r="K638" s="91" t="s">
        <v>32</v>
      </c>
      <c r="L638" s="72" t="s">
        <v>32</v>
      </c>
      <c r="M638" s="146" t="s">
        <v>54</v>
      </c>
      <c r="N638" s="91">
        <v>10</v>
      </c>
      <c r="O638" s="91">
        <v>6.5670000000000002</v>
      </c>
      <c r="P638" s="117" t="s">
        <v>60</v>
      </c>
      <c r="Q638" s="117">
        <v>66</v>
      </c>
      <c r="R638" s="117">
        <v>0</v>
      </c>
      <c r="S638" s="117">
        <v>66</v>
      </c>
      <c r="T638" s="117">
        <v>0</v>
      </c>
      <c r="U638" s="117">
        <v>0</v>
      </c>
      <c r="V638" s="117">
        <v>0</v>
      </c>
      <c r="W638" s="117">
        <v>0</v>
      </c>
      <c r="X638" s="117">
        <v>0</v>
      </c>
      <c r="Y638" s="117">
        <v>0</v>
      </c>
      <c r="Z638" s="117">
        <v>0</v>
      </c>
      <c r="AA638" s="117">
        <v>0</v>
      </c>
      <c r="AB638" s="117">
        <v>0</v>
      </c>
      <c r="AC638" s="117">
        <v>0</v>
      </c>
    </row>
    <row r="639" spans="1:29" s="4" customFormat="1" ht="30" customHeight="1" x14ac:dyDescent="0.3">
      <c r="A639" s="73" t="s">
        <v>795</v>
      </c>
      <c r="B639" s="73" t="s">
        <v>641</v>
      </c>
      <c r="C639" s="66" t="s">
        <v>69</v>
      </c>
      <c r="D639" s="73" t="s">
        <v>74</v>
      </c>
      <c r="E639" s="144">
        <v>88</v>
      </c>
      <c r="F639" s="73" t="s">
        <v>87</v>
      </c>
      <c r="G639" s="66">
        <v>21101</v>
      </c>
      <c r="H639" s="80" t="s">
        <v>500</v>
      </c>
      <c r="I639" s="81" t="s">
        <v>312</v>
      </c>
      <c r="J639" s="80" t="s">
        <v>83</v>
      </c>
      <c r="K639" s="91" t="s">
        <v>32</v>
      </c>
      <c r="L639" s="72" t="s">
        <v>32</v>
      </c>
      <c r="M639" s="145" t="s">
        <v>55</v>
      </c>
      <c r="N639" s="91">
        <v>1</v>
      </c>
      <c r="O639" s="91">
        <v>84.59</v>
      </c>
      <c r="P639" s="117" t="s">
        <v>60</v>
      </c>
      <c r="Q639" s="117">
        <v>85</v>
      </c>
      <c r="R639" s="117">
        <v>0</v>
      </c>
      <c r="S639" s="117">
        <v>85</v>
      </c>
      <c r="T639" s="117">
        <v>0</v>
      </c>
      <c r="U639" s="117">
        <v>0</v>
      </c>
      <c r="V639" s="117">
        <v>0</v>
      </c>
      <c r="W639" s="117">
        <v>0</v>
      </c>
      <c r="X639" s="117">
        <v>0</v>
      </c>
      <c r="Y639" s="117">
        <v>0</v>
      </c>
      <c r="Z639" s="117">
        <v>0</v>
      </c>
      <c r="AA639" s="117">
        <v>0</v>
      </c>
      <c r="AB639" s="117">
        <v>0</v>
      </c>
      <c r="AC639" s="117">
        <v>0</v>
      </c>
    </row>
    <row r="640" spans="1:29" s="4" customFormat="1" ht="30" customHeight="1" x14ac:dyDescent="0.3">
      <c r="A640" s="73" t="s">
        <v>795</v>
      </c>
      <c r="B640" s="73" t="s">
        <v>641</v>
      </c>
      <c r="C640" s="66" t="s">
        <v>69</v>
      </c>
      <c r="D640" s="73" t="s">
        <v>74</v>
      </c>
      <c r="E640" s="144">
        <v>88</v>
      </c>
      <c r="F640" s="73" t="s">
        <v>87</v>
      </c>
      <c r="G640" s="66">
        <v>21101</v>
      </c>
      <c r="H640" s="80" t="s">
        <v>500</v>
      </c>
      <c r="I640" s="81" t="s">
        <v>835</v>
      </c>
      <c r="J640" s="80" t="s">
        <v>836</v>
      </c>
      <c r="K640" s="91" t="s">
        <v>32</v>
      </c>
      <c r="L640" s="72" t="s">
        <v>32</v>
      </c>
      <c r="M640" s="146" t="s">
        <v>54</v>
      </c>
      <c r="N640" s="91">
        <v>10</v>
      </c>
      <c r="O640" s="91">
        <v>109.054</v>
      </c>
      <c r="P640" s="117" t="s">
        <v>60</v>
      </c>
      <c r="Q640" s="117">
        <v>1091</v>
      </c>
      <c r="R640" s="117">
        <v>0</v>
      </c>
      <c r="S640" s="117">
        <v>1091</v>
      </c>
      <c r="T640" s="117">
        <v>0</v>
      </c>
      <c r="U640" s="117">
        <v>0</v>
      </c>
      <c r="V640" s="117">
        <v>0</v>
      </c>
      <c r="W640" s="117">
        <v>0</v>
      </c>
      <c r="X640" s="117">
        <v>0</v>
      </c>
      <c r="Y640" s="117">
        <v>0</v>
      </c>
      <c r="Z640" s="117">
        <v>0</v>
      </c>
      <c r="AA640" s="117">
        <v>0</v>
      </c>
      <c r="AB640" s="117">
        <v>0</v>
      </c>
      <c r="AC640" s="117">
        <v>0</v>
      </c>
    </row>
    <row r="641" spans="1:29" s="4" customFormat="1" ht="30" customHeight="1" x14ac:dyDescent="0.3">
      <c r="A641" s="73" t="s">
        <v>795</v>
      </c>
      <c r="B641" s="73" t="s">
        <v>641</v>
      </c>
      <c r="C641" s="66" t="s">
        <v>69</v>
      </c>
      <c r="D641" s="73" t="s">
        <v>74</v>
      </c>
      <c r="E641" s="144">
        <v>88</v>
      </c>
      <c r="F641" s="73" t="s">
        <v>87</v>
      </c>
      <c r="G641" s="66">
        <v>21101</v>
      </c>
      <c r="H641" s="80" t="s">
        <v>500</v>
      </c>
      <c r="I641" s="81" t="s">
        <v>283</v>
      </c>
      <c r="J641" s="80" t="s">
        <v>36</v>
      </c>
      <c r="K641" s="91" t="s">
        <v>32</v>
      </c>
      <c r="L641" s="72" t="s">
        <v>32</v>
      </c>
      <c r="M641" s="146" t="s">
        <v>54</v>
      </c>
      <c r="N641" s="91">
        <v>5</v>
      </c>
      <c r="O641" s="91">
        <v>109.054</v>
      </c>
      <c r="P641" s="117" t="s">
        <v>60</v>
      </c>
      <c r="Q641" s="117">
        <v>545</v>
      </c>
      <c r="R641" s="117">
        <v>0</v>
      </c>
      <c r="S641" s="117">
        <v>545</v>
      </c>
      <c r="T641" s="117">
        <v>0</v>
      </c>
      <c r="U641" s="117">
        <v>0</v>
      </c>
      <c r="V641" s="117">
        <v>0</v>
      </c>
      <c r="W641" s="117">
        <v>0</v>
      </c>
      <c r="X641" s="117">
        <v>0</v>
      </c>
      <c r="Y641" s="117">
        <v>0</v>
      </c>
      <c r="Z641" s="117">
        <v>0</v>
      </c>
      <c r="AA641" s="117">
        <v>0</v>
      </c>
      <c r="AB641" s="117">
        <v>0</v>
      </c>
      <c r="AC641" s="117">
        <v>0</v>
      </c>
    </row>
    <row r="642" spans="1:29" s="4" customFormat="1" ht="30" customHeight="1" x14ac:dyDescent="0.3">
      <c r="A642" s="73" t="s">
        <v>795</v>
      </c>
      <c r="B642" s="73" t="s">
        <v>641</v>
      </c>
      <c r="C642" s="66" t="s">
        <v>69</v>
      </c>
      <c r="D642" s="73" t="s">
        <v>74</v>
      </c>
      <c r="E642" s="144">
        <v>88</v>
      </c>
      <c r="F642" s="73" t="s">
        <v>87</v>
      </c>
      <c r="G642" s="66">
        <v>21101</v>
      </c>
      <c r="H642" s="80" t="s">
        <v>500</v>
      </c>
      <c r="I642" s="81" t="s">
        <v>837</v>
      </c>
      <c r="J642" s="80" t="s">
        <v>838</v>
      </c>
      <c r="K642" s="91" t="s">
        <v>32</v>
      </c>
      <c r="L642" s="72" t="s">
        <v>32</v>
      </c>
      <c r="M642" s="146" t="s">
        <v>54</v>
      </c>
      <c r="N642" s="91">
        <v>3</v>
      </c>
      <c r="O642" s="91">
        <v>425.7</v>
      </c>
      <c r="P642" s="117" t="s">
        <v>60</v>
      </c>
      <c r="Q642" s="117">
        <v>1277</v>
      </c>
      <c r="R642" s="117">
        <v>0</v>
      </c>
      <c r="S642" s="117">
        <v>426</v>
      </c>
      <c r="T642" s="117">
        <v>0</v>
      </c>
      <c r="U642" s="117">
        <v>0</v>
      </c>
      <c r="V642" s="117">
        <v>426</v>
      </c>
      <c r="W642" s="117">
        <v>0</v>
      </c>
      <c r="X642" s="117">
        <v>0</v>
      </c>
      <c r="Y642" s="117">
        <v>0</v>
      </c>
      <c r="Z642" s="117">
        <v>0</v>
      </c>
      <c r="AA642" s="117">
        <v>0</v>
      </c>
      <c r="AB642" s="117">
        <v>425</v>
      </c>
      <c r="AC642" s="117">
        <v>0</v>
      </c>
    </row>
    <row r="643" spans="1:29" s="4" customFormat="1" ht="30" customHeight="1" x14ac:dyDescent="0.3">
      <c r="A643" s="73" t="s">
        <v>795</v>
      </c>
      <c r="B643" s="73" t="s">
        <v>641</v>
      </c>
      <c r="C643" s="66" t="s">
        <v>69</v>
      </c>
      <c r="D643" s="73" t="s">
        <v>74</v>
      </c>
      <c r="E643" s="144">
        <v>88</v>
      </c>
      <c r="F643" s="73" t="s">
        <v>87</v>
      </c>
      <c r="G643" s="66">
        <v>21101</v>
      </c>
      <c r="H643" s="80" t="s">
        <v>500</v>
      </c>
      <c r="I643" s="81" t="s">
        <v>839</v>
      </c>
      <c r="J643" s="80" t="s">
        <v>840</v>
      </c>
      <c r="K643" s="91" t="s">
        <v>32</v>
      </c>
      <c r="L643" s="72" t="s">
        <v>32</v>
      </c>
      <c r="M643" s="146" t="s">
        <v>54</v>
      </c>
      <c r="N643" s="91">
        <v>3</v>
      </c>
      <c r="O643" s="91">
        <v>416.9</v>
      </c>
      <c r="P643" s="117" t="s">
        <v>60</v>
      </c>
      <c r="Q643" s="117">
        <v>1251</v>
      </c>
      <c r="R643" s="117">
        <v>0</v>
      </c>
      <c r="S643" s="117">
        <v>417</v>
      </c>
      <c r="T643" s="117">
        <v>0</v>
      </c>
      <c r="U643" s="117">
        <v>0</v>
      </c>
      <c r="V643" s="117">
        <v>834</v>
      </c>
      <c r="W643" s="117">
        <v>0</v>
      </c>
      <c r="X643" s="117">
        <v>0</v>
      </c>
      <c r="Y643" s="117">
        <v>0</v>
      </c>
      <c r="Z643" s="117">
        <v>0</v>
      </c>
      <c r="AA643" s="117">
        <v>0</v>
      </c>
      <c r="AB643" s="117">
        <v>0</v>
      </c>
      <c r="AC643" s="117">
        <v>0</v>
      </c>
    </row>
    <row r="644" spans="1:29" s="4" customFormat="1" ht="30" customHeight="1" x14ac:dyDescent="0.3">
      <c r="A644" s="73" t="s">
        <v>795</v>
      </c>
      <c r="B644" s="73" t="s">
        <v>641</v>
      </c>
      <c r="C644" s="66" t="s">
        <v>69</v>
      </c>
      <c r="D644" s="73" t="s">
        <v>74</v>
      </c>
      <c r="E644" s="144">
        <v>88</v>
      </c>
      <c r="F644" s="73" t="s">
        <v>87</v>
      </c>
      <c r="G644" s="66">
        <v>21101</v>
      </c>
      <c r="H644" s="80" t="s">
        <v>500</v>
      </c>
      <c r="I644" s="81" t="s">
        <v>457</v>
      </c>
      <c r="J644" s="80" t="s">
        <v>458</v>
      </c>
      <c r="K644" s="91" t="s">
        <v>32</v>
      </c>
      <c r="L644" s="72" t="s">
        <v>32</v>
      </c>
      <c r="M644" s="146" t="s">
        <v>54</v>
      </c>
      <c r="N644" s="91">
        <v>10</v>
      </c>
      <c r="O644" s="91">
        <v>140.35999999999999</v>
      </c>
      <c r="P644" s="117" t="s">
        <v>60</v>
      </c>
      <c r="Q644" s="117">
        <v>1404</v>
      </c>
      <c r="R644" s="117">
        <v>0</v>
      </c>
      <c r="S644" s="117">
        <v>0</v>
      </c>
      <c r="T644" s="117">
        <v>0</v>
      </c>
      <c r="U644" s="117">
        <v>0</v>
      </c>
      <c r="V644" s="117">
        <v>702</v>
      </c>
      <c r="W644" s="117">
        <v>0</v>
      </c>
      <c r="X644" s="117">
        <v>0</v>
      </c>
      <c r="Y644" s="117">
        <v>702</v>
      </c>
      <c r="Z644" s="117">
        <v>0</v>
      </c>
      <c r="AA644" s="117">
        <v>0</v>
      </c>
      <c r="AB644" s="117">
        <v>0</v>
      </c>
      <c r="AC644" s="117">
        <v>0</v>
      </c>
    </row>
    <row r="645" spans="1:29" s="4" customFormat="1" ht="30" customHeight="1" x14ac:dyDescent="0.3">
      <c r="A645" s="73" t="s">
        <v>795</v>
      </c>
      <c r="B645" s="73" t="s">
        <v>641</v>
      </c>
      <c r="C645" s="66" t="s">
        <v>69</v>
      </c>
      <c r="D645" s="73" t="s">
        <v>74</v>
      </c>
      <c r="E645" s="144">
        <v>88</v>
      </c>
      <c r="F645" s="73" t="s">
        <v>87</v>
      </c>
      <c r="G645" s="66">
        <v>21101</v>
      </c>
      <c r="H645" s="80" t="s">
        <v>500</v>
      </c>
      <c r="I645" s="81" t="s">
        <v>841</v>
      </c>
      <c r="J645" s="80" t="s">
        <v>842</v>
      </c>
      <c r="K645" s="91" t="s">
        <v>32</v>
      </c>
      <c r="L645" s="72" t="s">
        <v>32</v>
      </c>
      <c r="M645" s="146" t="s">
        <v>54</v>
      </c>
      <c r="N645" s="91">
        <v>10</v>
      </c>
      <c r="O645" s="91">
        <v>64.900000000000006</v>
      </c>
      <c r="P645" s="117" t="s">
        <v>60</v>
      </c>
      <c r="Q645" s="117">
        <v>649</v>
      </c>
      <c r="R645" s="117">
        <v>0</v>
      </c>
      <c r="S645" s="117">
        <v>0</v>
      </c>
      <c r="T645" s="117">
        <v>0</v>
      </c>
      <c r="U645" s="117">
        <v>0</v>
      </c>
      <c r="V645" s="117">
        <v>649</v>
      </c>
      <c r="W645" s="117">
        <v>0</v>
      </c>
      <c r="X645" s="117">
        <v>0</v>
      </c>
      <c r="Y645" s="117">
        <v>0</v>
      </c>
      <c r="Z645" s="117">
        <v>0</v>
      </c>
      <c r="AA645" s="117">
        <v>0</v>
      </c>
      <c r="AB645" s="117">
        <v>0</v>
      </c>
      <c r="AC645" s="117">
        <v>0</v>
      </c>
    </row>
    <row r="646" spans="1:29" s="4" customFormat="1" ht="30" customHeight="1" x14ac:dyDescent="0.3">
      <c r="A646" s="73" t="s">
        <v>795</v>
      </c>
      <c r="B646" s="73" t="s">
        <v>641</v>
      </c>
      <c r="C646" s="66" t="s">
        <v>69</v>
      </c>
      <c r="D646" s="73" t="s">
        <v>74</v>
      </c>
      <c r="E646" s="144">
        <v>88</v>
      </c>
      <c r="F646" s="73" t="s">
        <v>87</v>
      </c>
      <c r="G646" s="66">
        <v>21101</v>
      </c>
      <c r="H646" s="80" t="s">
        <v>500</v>
      </c>
      <c r="I646" s="81" t="s">
        <v>843</v>
      </c>
      <c r="J646" s="80" t="s">
        <v>844</v>
      </c>
      <c r="K646" s="91" t="s">
        <v>32</v>
      </c>
      <c r="L646" s="72" t="s">
        <v>32</v>
      </c>
      <c r="M646" s="146" t="s">
        <v>54</v>
      </c>
      <c r="N646" s="91">
        <v>10</v>
      </c>
      <c r="O646" s="91">
        <v>7.6450000000000005</v>
      </c>
      <c r="P646" s="117" t="s">
        <v>60</v>
      </c>
      <c r="Q646" s="117">
        <v>76</v>
      </c>
      <c r="R646" s="117">
        <v>0</v>
      </c>
      <c r="S646" s="117">
        <v>0</v>
      </c>
      <c r="T646" s="117">
        <v>0</v>
      </c>
      <c r="U646" s="117">
        <v>0</v>
      </c>
      <c r="V646" s="117">
        <v>0</v>
      </c>
      <c r="W646" s="117">
        <v>0</v>
      </c>
      <c r="X646" s="117">
        <v>0</v>
      </c>
      <c r="Y646" s="117">
        <v>61</v>
      </c>
      <c r="Z646" s="117">
        <v>0</v>
      </c>
      <c r="AA646" s="117">
        <v>0</v>
      </c>
      <c r="AB646" s="117">
        <v>15</v>
      </c>
      <c r="AC646" s="117">
        <v>0</v>
      </c>
    </row>
    <row r="647" spans="1:29" s="4" customFormat="1" ht="30" customHeight="1" x14ac:dyDescent="0.3">
      <c r="A647" s="73" t="s">
        <v>795</v>
      </c>
      <c r="B647" s="73" t="s">
        <v>641</v>
      </c>
      <c r="C647" s="66" t="s">
        <v>69</v>
      </c>
      <c r="D647" s="73" t="s">
        <v>74</v>
      </c>
      <c r="E647" s="144">
        <v>88</v>
      </c>
      <c r="F647" s="73" t="s">
        <v>87</v>
      </c>
      <c r="G647" s="66">
        <v>21101</v>
      </c>
      <c r="H647" s="80" t="s">
        <v>500</v>
      </c>
      <c r="I647" s="81" t="s">
        <v>526</v>
      </c>
      <c r="J647" s="80" t="s">
        <v>527</v>
      </c>
      <c r="K647" s="91" t="s">
        <v>32</v>
      </c>
      <c r="L647" s="72" t="s">
        <v>32</v>
      </c>
      <c r="M647" s="146" t="s">
        <v>54</v>
      </c>
      <c r="N647" s="91">
        <v>10</v>
      </c>
      <c r="O647" s="91">
        <v>20.9</v>
      </c>
      <c r="P647" s="117" t="s">
        <v>60</v>
      </c>
      <c r="Q647" s="117">
        <v>209</v>
      </c>
      <c r="R647" s="117">
        <v>0</v>
      </c>
      <c r="S647" s="117">
        <v>42</v>
      </c>
      <c r="T647" s="117">
        <v>0</v>
      </c>
      <c r="U647" s="117">
        <v>0</v>
      </c>
      <c r="V647" s="117">
        <v>42</v>
      </c>
      <c r="W647" s="117">
        <v>0</v>
      </c>
      <c r="X647" s="117">
        <v>0</v>
      </c>
      <c r="Y647" s="117">
        <v>84</v>
      </c>
      <c r="Z647" s="117">
        <v>0</v>
      </c>
      <c r="AA647" s="117">
        <v>0</v>
      </c>
      <c r="AB647" s="117">
        <v>41</v>
      </c>
      <c r="AC647" s="117">
        <v>0</v>
      </c>
    </row>
    <row r="648" spans="1:29" s="4" customFormat="1" ht="30" customHeight="1" x14ac:dyDescent="0.3">
      <c r="A648" s="73" t="s">
        <v>795</v>
      </c>
      <c r="B648" s="73" t="s">
        <v>641</v>
      </c>
      <c r="C648" s="66" t="s">
        <v>69</v>
      </c>
      <c r="D648" s="73" t="s">
        <v>74</v>
      </c>
      <c r="E648" s="144">
        <v>88</v>
      </c>
      <c r="F648" s="73" t="s">
        <v>87</v>
      </c>
      <c r="G648" s="66">
        <v>21101</v>
      </c>
      <c r="H648" s="80" t="s">
        <v>500</v>
      </c>
      <c r="I648" s="81" t="s">
        <v>845</v>
      </c>
      <c r="J648" s="80" t="s">
        <v>846</v>
      </c>
      <c r="K648" s="91" t="s">
        <v>32</v>
      </c>
      <c r="L648" s="72" t="s">
        <v>32</v>
      </c>
      <c r="M648" s="146" t="s">
        <v>54</v>
      </c>
      <c r="N648" s="91">
        <v>5</v>
      </c>
      <c r="O648" s="91">
        <v>59.818000000000005</v>
      </c>
      <c r="P648" s="117" t="s">
        <v>60</v>
      </c>
      <c r="Q648" s="117">
        <v>299</v>
      </c>
      <c r="R648" s="117">
        <v>0</v>
      </c>
      <c r="S648" s="117">
        <v>0</v>
      </c>
      <c r="T648" s="117">
        <v>0</v>
      </c>
      <c r="U648" s="117">
        <v>0</v>
      </c>
      <c r="V648" s="117">
        <v>120</v>
      </c>
      <c r="W648" s="117">
        <v>0</v>
      </c>
      <c r="X648" s="117">
        <v>0</v>
      </c>
      <c r="Y648" s="117">
        <v>120</v>
      </c>
      <c r="Z648" s="117">
        <v>0</v>
      </c>
      <c r="AA648" s="117">
        <v>0</v>
      </c>
      <c r="AB648" s="117">
        <v>59</v>
      </c>
      <c r="AC648" s="117">
        <v>0</v>
      </c>
    </row>
    <row r="649" spans="1:29" s="4" customFormat="1" ht="30" customHeight="1" x14ac:dyDescent="0.3">
      <c r="A649" s="73" t="s">
        <v>795</v>
      </c>
      <c r="B649" s="73" t="s">
        <v>641</v>
      </c>
      <c r="C649" s="66" t="s">
        <v>69</v>
      </c>
      <c r="D649" s="73" t="s">
        <v>74</v>
      </c>
      <c r="E649" s="144">
        <v>88</v>
      </c>
      <c r="F649" s="73" t="s">
        <v>87</v>
      </c>
      <c r="G649" s="66">
        <v>21101</v>
      </c>
      <c r="H649" s="80" t="s">
        <v>500</v>
      </c>
      <c r="I649" s="81" t="s">
        <v>251</v>
      </c>
      <c r="J649" s="80" t="s">
        <v>39</v>
      </c>
      <c r="K649" s="91" t="s">
        <v>32</v>
      </c>
      <c r="L649" s="72" t="s">
        <v>32</v>
      </c>
      <c r="M649" s="145" t="s">
        <v>55</v>
      </c>
      <c r="N649" s="91">
        <v>10</v>
      </c>
      <c r="O649" s="91">
        <v>19.8</v>
      </c>
      <c r="P649" s="117" t="s">
        <v>60</v>
      </c>
      <c r="Q649" s="117">
        <v>198</v>
      </c>
      <c r="R649" s="117">
        <v>0</v>
      </c>
      <c r="S649" s="117">
        <v>99</v>
      </c>
      <c r="T649" s="117">
        <v>0</v>
      </c>
      <c r="U649" s="117">
        <v>0</v>
      </c>
      <c r="V649" s="117">
        <v>0</v>
      </c>
      <c r="W649" s="117">
        <v>0</v>
      </c>
      <c r="X649" s="117">
        <v>0</v>
      </c>
      <c r="Y649" s="117">
        <v>59</v>
      </c>
      <c r="Z649" s="117">
        <v>0</v>
      </c>
      <c r="AA649" s="117">
        <v>0</v>
      </c>
      <c r="AB649" s="117">
        <v>40</v>
      </c>
      <c r="AC649" s="117">
        <v>0</v>
      </c>
    </row>
    <row r="650" spans="1:29" s="4" customFormat="1" ht="30" customHeight="1" x14ac:dyDescent="0.3">
      <c r="A650" s="73" t="s">
        <v>795</v>
      </c>
      <c r="B650" s="73" t="s">
        <v>641</v>
      </c>
      <c r="C650" s="66" t="s">
        <v>69</v>
      </c>
      <c r="D650" s="73" t="s">
        <v>74</v>
      </c>
      <c r="E650" s="144">
        <v>88</v>
      </c>
      <c r="F650" s="73" t="s">
        <v>87</v>
      </c>
      <c r="G650" s="66">
        <v>21101</v>
      </c>
      <c r="H650" s="80" t="s">
        <v>500</v>
      </c>
      <c r="I650" s="81" t="s">
        <v>255</v>
      </c>
      <c r="J650" s="80" t="s">
        <v>40</v>
      </c>
      <c r="K650" s="91" t="s">
        <v>32</v>
      </c>
      <c r="L650" s="72" t="s">
        <v>32</v>
      </c>
      <c r="M650" s="145" t="s">
        <v>55</v>
      </c>
      <c r="N650" s="91">
        <v>15</v>
      </c>
      <c r="O650" s="91">
        <v>10.23</v>
      </c>
      <c r="P650" s="117" t="s">
        <v>60</v>
      </c>
      <c r="Q650" s="117">
        <v>153</v>
      </c>
      <c r="R650" s="117">
        <v>0</v>
      </c>
      <c r="S650" s="117">
        <v>153</v>
      </c>
      <c r="T650" s="117">
        <v>0</v>
      </c>
      <c r="U650" s="117">
        <v>0</v>
      </c>
      <c r="V650" s="117">
        <v>0</v>
      </c>
      <c r="W650" s="117">
        <v>0</v>
      </c>
      <c r="X650" s="117">
        <v>0</v>
      </c>
      <c r="Y650" s="117">
        <v>0</v>
      </c>
      <c r="Z650" s="117">
        <v>0</v>
      </c>
      <c r="AA650" s="117">
        <v>0</v>
      </c>
      <c r="AB650" s="117">
        <v>0</v>
      </c>
      <c r="AC650" s="117">
        <v>0</v>
      </c>
    </row>
    <row r="651" spans="1:29" s="4" customFormat="1" ht="30" customHeight="1" x14ac:dyDescent="0.3">
      <c r="A651" s="73" t="s">
        <v>795</v>
      </c>
      <c r="B651" s="73" t="s">
        <v>641</v>
      </c>
      <c r="C651" s="66" t="s">
        <v>69</v>
      </c>
      <c r="D651" s="73" t="s">
        <v>74</v>
      </c>
      <c r="E651" s="144">
        <v>88</v>
      </c>
      <c r="F651" s="73" t="s">
        <v>87</v>
      </c>
      <c r="G651" s="66">
        <v>21101</v>
      </c>
      <c r="H651" s="80" t="s">
        <v>500</v>
      </c>
      <c r="I651" s="81" t="s">
        <v>847</v>
      </c>
      <c r="J651" s="80" t="s">
        <v>848</v>
      </c>
      <c r="K651" s="91" t="s">
        <v>32</v>
      </c>
      <c r="L651" s="72" t="s">
        <v>32</v>
      </c>
      <c r="M651" s="146" t="s">
        <v>55</v>
      </c>
      <c r="N651" s="91">
        <v>5</v>
      </c>
      <c r="O651" s="91">
        <v>37.389000000000003</v>
      </c>
      <c r="P651" s="117" t="s">
        <v>60</v>
      </c>
      <c r="Q651" s="117">
        <v>187</v>
      </c>
      <c r="R651" s="117">
        <v>0</v>
      </c>
      <c r="S651" s="117">
        <v>0</v>
      </c>
      <c r="T651" s="117">
        <v>0</v>
      </c>
      <c r="U651" s="117">
        <v>0</v>
      </c>
      <c r="V651" s="117">
        <v>187</v>
      </c>
      <c r="W651" s="117">
        <v>0</v>
      </c>
      <c r="X651" s="117">
        <v>0</v>
      </c>
      <c r="Y651" s="117">
        <v>0</v>
      </c>
      <c r="Z651" s="117">
        <v>0</v>
      </c>
      <c r="AA651" s="117">
        <v>0</v>
      </c>
      <c r="AB651" s="117">
        <v>0</v>
      </c>
      <c r="AC651" s="117">
        <v>0</v>
      </c>
    </row>
    <row r="652" spans="1:29" s="4" customFormat="1" ht="30" customHeight="1" x14ac:dyDescent="0.3">
      <c r="A652" s="73" t="s">
        <v>795</v>
      </c>
      <c r="B652" s="73" t="s">
        <v>641</v>
      </c>
      <c r="C652" s="66" t="s">
        <v>69</v>
      </c>
      <c r="D652" s="73" t="s">
        <v>74</v>
      </c>
      <c r="E652" s="144">
        <v>88</v>
      </c>
      <c r="F652" s="73" t="s">
        <v>87</v>
      </c>
      <c r="G652" s="66">
        <v>21101</v>
      </c>
      <c r="H652" s="80" t="s">
        <v>500</v>
      </c>
      <c r="I652" s="81" t="s">
        <v>271</v>
      </c>
      <c r="J652" s="80" t="s">
        <v>84</v>
      </c>
      <c r="K652" s="91" t="s">
        <v>32</v>
      </c>
      <c r="L652" s="72" t="s">
        <v>32</v>
      </c>
      <c r="M652" s="146" t="s">
        <v>55</v>
      </c>
      <c r="N652" s="91">
        <v>2</v>
      </c>
      <c r="O652" s="91">
        <v>20.9</v>
      </c>
      <c r="P652" s="117" t="s">
        <v>60</v>
      </c>
      <c r="Q652" s="117">
        <v>42</v>
      </c>
      <c r="R652" s="117">
        <v>0</v>
      </c>
      <c r="S652" s="117">
        <v>42</v>
      </c>
      <c r="T652" s="117">
        <v>0</v>
      </c>
      <c r="U652" s="117">
        <v>0</v>
      </c>
      <c r="V652" s="117">
        <v>0</v>
      </c>
      <c r="W652" s="117">
        <v>0</v>
      </c>
      <c r="X652" s="117">
        <v>0</v>
      </c>
      <c r="Y652" s="117">
        <v>0</v>
      </c>
      <c r="Z652" s="117">
        <v>0</v>
      </c>
      <c r="AA652" s="117">
        <v>0</v>
      </c>
      <c r="AB652" s="117">
        <v>0</v>
      </c>
      <c r="AC652" s="117">
        <v>0</v>
      </c>
    </row>
    <row r="653" spans="1:29" s="4" customFormat="1" ht="30" customHeight="1" x14ac:dyDescent="0.3">
      <c r="A653" s="73" t="s">
        <v>795</v>
      </c>
      <c r="B653" s="73" t="s">
        <v>641</v>
      </c>
      <c r="C653" s="66" t="s">
        <v>69</v>
      </c>
      <c r="D653" s="73" t="s">
        <v>74</v>
      </c>
      <c r="E653" s="144">
        <v>88</v>
      </c>
      <c r="F653" s="73" t="s">
        <v>87</v>
      </c>
      <c r="G653" s="66">
        <v>21101</v>
      </c>
      <c r="H653" s="80" t="s">
        <v>500</v>
      </c>
      <c r="I653" s="81" t="s">
        <v>849</v>
      </c>
      <c r="J653" s="80" t="s">
        <v>850</v>
      </c>
      <c r="K653" s="91" t="s">
        <v>32</v>
      </c>
      <c r="L653" s="72" t="s">
        <v>32</v>
      </c>
      <c r="M653" s="146" t="s">
        <v>383</v>
      </c>
      <c r="N653" s="91">
        <v>100</v>
      </c>
      <c r="O653" s="91">
        <v>5.7200000000000006</v>
      </c>
      <c r="P653" s="117" t="s">
        <v>60</v>
      </c>
      <c r="Q653" s="117">
        <v>572.00000000000011</v>
      </c>
      <c r="R653" s="117">
        <v>0</v>
      </c>
      <c r="S653" s="117">
        <v>0</v>
      </c>
      <c r="T653" s="117">
        <v>0</v>
      </c>
      <c r="U653" s="117">
        <v>0</v>
      </c>
      <c r="V653" s="117">
        <v>572.00000000000011</v>
      </c>
      <c r="W653" s="117">
        <v>0</v>
      </c>
      <c r="X653" s="117">
        <v>0</v>
      </c>
      <c r="Y653" s="117">
        <v>0</v>
      </c>
      <c r="Z653" s="117">
        <v>0</v>
      </c>
      <c r="AA653" s="117">
        <v>0</v>
      </c>
      <c r="AB653" s="117">
        <v>0</v>
      </c>
      <c r="AC653" s="117">
        <v>0</v>
      </c>
    </row>
    <row r="654" spans="1:29" s="4" customFormat="1" ht="30" customHeight="1" x14ac:dyDescent="0.3">
      <c r="A654" s="73" t="s">
        <v>795</v>
      </c>
      <c r="B654" s="73" t="s">
        <v>641</v>
      </c>
      <c r="C654" s="66" t="s">
        <v>69</v>
      </c>
      <c r="D654" s="73" t="s">
        <v>74</v>
      </c>
      <c r="E654" s="144">
        <v>88</v>
      </c>
      <c r="F654" s="73" t="s">
        <v>87</v>
      </c>
      <c r="G654" s="66">
        <v>21101</v>
      </c>
      <c r="H654" s="80" t="s">
        <v>500</v>
      </c>
      <c r="I654" s="81" t="s">
        <v>851</v>
      </c>
      <c r="J654" s="80" t="s">
        <v>852</v>
      </c>
      <c r="K654" s="91" t="s">
        <v>32</v>
      </c>
      <c r="L654" s="72" t="s">
        <v>32</v>
      </c>
      <c r="M654" s="146" t="s">
        <v>54</v>
      </c>
      <c r="N654" s="91">
        <v>12</v>
      </c>
      <c r="O654" s="91">
        <v>23.76</v>
      </c>
      <c r="P654" s="117" t="s">
        <v>60</v>
      </c>
      <c r="Q654" s="117">
        <v>285</v>
      </c>
      <c r="R654" s="117">
        <v>0</v>
      </c>
      <c r="S654" s="117">
        <v>238</v>
      </c>
      <c r="T654" s="117">
        <v>0</v>
      </c>
      <c r="U654" s="117">
        <v>0</v>
      </c>
      <c r="V654" s="117">
        <v>47</v>
      </c>
      <c r="W654" s="117">
        <v>0</v>
      </c>
      <c r="X654" s="117">
        <v>0</v>
      </c>
      <c r="Y654" s="117">
        <v>0</v>
      </c>
      <c r="Z654" s="117">
        <v>0</v>
      </c>
      <c r="AA654" s="117">
        <v>0</v>
      </c>
      <c r="AB654" s="117">
        <v>0</v>
      </c>
      <c r="AC654" s="117">
        <v>0</v>
      </c>
    </row>
    <row r="655" spans="1:29" s="4" customFormat="1" ht="30" customHeight="1" x14ac:dyDescent="0.3">
      <c r="A655" s="73" t="s">
        <v>795</v>
      </c>
      <c r="B655" s="73" t="s">
        <v>641</v>
      </c>
      <c r="C655" s="66" t="s">
        <v>69</v>
      </c>
      <c r="D655" s="73" t="s">
        <v>74</v>
      </c>
      <c r="E655" s="144">
        <v>88</v>
      </c>
      <c r="F655" s="73" t="s">
        <v>87</v>
      </c>
      <c r="G655" s="66">
        <v>21101</v>
      </c>
      <c r="H655" s="80" t="s">
        <v>500</v>
      </c>
      <c r="I655" s="81" t="s">
        <v>250</v>
      </c>
      <c r="J655" s="80" t="s">
        <v>41</v>
      </c>
      <c r="K655" s="91" t="s">
        <v>32</v>
      </c>
      <c r="L655" s="72" t="s">
        <v>32</v>
      </c>
      <c r="M655" s="146" t="s">
        <v>54</v>
      </c>
      <c r="N655" s="91">
        <v>12</v>
      </c>
      <c r="O655" s="91">
        <v>28.698999999999998</v>
      </c>
      <c r="P655" s="117" t="s">
        <v>60</v>
      </c>
      <c r="Q655" s="117">
        <v>344</v>
      </c>
      <c r="R655" s="117">
        <v>0</v>
      </c>
      <c r="S655" s="117">
        <v>344</v>
      </c>
      <c r="T655" s="117">
        <v>0</v>
      </c>
      <c r="U655" s="117">
        <v>0</v>
      </c>
      <c r="V655" s="117">
        <v>0</v>
      </c>
      <c r="W655" s="117">
        <v>0</v>
      </c>
      <c r="X655" s="117">
        <v>0</v>
      </c>
      <c r="Y655" s="117">
        <v>0</v>
      </c>
      <c r="Z655" s="117">
        <v>0</v>
      </c>
      <c r="AA655" s="117">
        <v>0</v>
      </c>
      <c r="AB655" s="117">
        <v>0</v>
      </c>
      <c r="AC655" s="117">
        <v>0</v>
      </c>
    </row>
    <row r="656" spans="1:29" s="4" customFormat="1" ht="30" customHeight="1" x14ac:dyDescent="0.3">
      <c r="A656" s="73" t="s">
        <v>795</v>
      </c>
      <c r="B656" s="73" t="s">
        <v>641</v>
      </c>
      <c r="C656" s="66" t="s">
        <v>69</v>
      </c>
      <c r="D656" s="73" t="s">
        <v>74</v>
      </c>
      <c r="E656" s="144">
        <v>88</v>
      </c>
      <c r="F656" s="73" t="s">
        <v>87</v>
      </c>
      <c r="G656" s="66">
        <v>21101</v>
      </c>
      <c r="H656" s="80" t="s">
        <v>500</v>
      </c>
      <c r="I656" s="81" t="s">
        <v>853</v>
      </c>
      <c r="J656" s="80" t="s">
        <v>854</v>
      </c>
      <c r="K656" s="91" t="s">
        <v>32</v>
      </c>
      <c r="L656" s="72" t="s">
        <v>32</v>
      </c>
      <c r="M656" s="146" t="s">
        <v>54</v>
      </c>
      <c r="N656" s="91">
        <v>20</v>
      </c>
      <c r="O656" s="91">
        <v>97.9</v>
      </c>
      <c r="P656" s="117" t="s">
        <v>60</v>
      </c>
      <c r="Q656" s="117">
        <v>1958</v>
      </c>
      <c r="R656" s="117">
        <v>0</v>
      </c>
      <c r="S656" s="117">
        <v>979</v>
      </c>
      <c r="T656" s="117">
        <v>0</v>
      </c>
      <c r="U656" s="117">
        <v>0</v>
      </c>
      <c r="V656" s="117">
        <v>0</v>
      </c>
      <c r="W656" s="117">
        <v>0</v>
      </c>
      <c r="X656" s="117">
        <v>0</v>
      </c>
      <c r="Y656" s="117">
        <v>979</v>
      </c>
      <c r="Z656" s="117">
        <v>0</v>
      </c>
      <c r="AA656" s="117">
        <v>0</v>
      </c>
      <c r="AB656" s="117">
        <v>0</v>
      </c>
      <c r="AC656" s="117">
        <v>0</v>
      </c>
    </row>
    <row r="657" spans="1:29" s="4" customFormat="1" ht="30" customHeight="1" x14ac:dyDescent="0.3">
      <c r="A657" s="73" t="s">
        <v>795</v>
      </c>
      <c r="B657" s="73" t="s">
        <v>641</v>
      </c>
      <c r="C657" s="66" t="s">
        <v>69</v>
      </c>
      <c r="D657" s="73" t="s">
        <v>74</v>
      </c>
      <c r="E657" s="144">
        <v>88</v>
      </c>
      <c r="F657" s="73" t="s">
        <v>87</v>
      </c>
      <c r="G657" s="66">
        <v>21101</v>
      </c>
      <c r="H657" s="80" t="s">
        <v>500</v>
      </c>
      <c r="I657" s="81" t="s">
        <v>395</v>
      </c>
      <c r="J657" s="80" t="s">
        <v>396</v>
      </c>
      <c r="K657" s="91" t="s">
        <v>32</v>
      </c>
      <c r="L657" s="72" t="s">
        <v>32</v>
      </c>
      <c r="M657" s="146" t="s">
        <v>54</v>
      </c>
      <c r="N657" s="91">
        <v>4</v>
      </c>
      <c r="O657" s="91">
        <v>20.350000000000001</v>
      </c>
      <c r="P657" s="117" t="s">
        <v>60</v>
      </c>
      <c r="Q657" s="117">
        <v>81</v>
      </c>
      <c r="R657" s="117">
        <v>0</v>
      </c>
      <c r="S657" s="117">
        <v>20</v>
      </c>
      <c r="T657" s="117">
        <v>0</v>
      </c>
      <c r="U657" s="117">
        <v>0</v>
      </c>
      <c r="V657" s="117">
        <v>0</v>
      </c>
      <c r="W657" s="117">
        <v>0</v>
      </c>
      <c r="X657" s="117">
        <v>0</v>
      </c>
      <c r="Y657" s="117">
        <v>61</v>
      </c>
      <c r="Z657" s="117">
        <v>0</v>
      </c>
      <c r="AA657" s="117">
        <v>0</v>
      </c>
      <c r="AB657" s="117">
        <v>0</v>
      </c>
      <c r="AC657" s="117">
        <v>0</v>
      </c>
    </row>
    <row r="658" spans="1:29" s="4" customFormat="1" ht="30" customHeight="1" x14ac:dyDescent="0.3">
      <c r="A658" s="73" t="s">
        <v>795</v>
      </c>
      <c r="B658" s="73" t="s">
        <v>641</v>
      </c>
      <c r="C658" s="66" t="s">
        <v>69</v>
      </c>
      <c r="D658" s="73" t="s">
        <v>74</v>
      </c>
      <c r="E658" s="144">
        <v>88</v>
      </c>
      <c r="F658" s="73" t="s">
        <v>87</v>
      </c>
      <c r="G658" s="66">
        <v>21101</v>
      </c>
      <c r="H658" s="80" t="s">
        <v>500</v>
      </c>
      <c r="I658" s="81" t="s">
        <v>334</v>
      </c>
      <c r="J658" s="80" t="s">
        <v>44</v>
      </c>
      <c r="K658" s="91" t="s">
        <v>32</v>
      </c>
      <c r="L658" s="72" t="s">
        <v>32</v>
      </c>
      <c r="M658" s="146" t="s">
        <v>54</v>
      </c>
      <c r="N658" s="91">
        <v>3</v>
      </c>
      <c r="O658" s="91">
        <v>292.60000000000002</v>
      </c>
      <c r="P658" s="117" t="s">
        <v>60</v>
      </c>
      <c r="Q658" s="117">
        <v>878</v>
      </c>
      <c r="R658" s="117">
        <v>0</v>
      </c>
      <c r="S658" s="117">
        <v>293</v>
      </c>
      <c r="T658" s="117">
        <v>0</v>
      </c>
      <c r="U658" s="117">
        <v>0</v>
      </c>
      <c r="V658" s="117">
        <v>0</v>
      </c>
      <c r="W658" s="117">
        <v>0</v>
      </c>
      <c r="X658" s="117">
        <v>0</v>
      </c>
      <c r="Y658" s="117">
        <v>585</v>
      </c>
      <c r="Z658" s="117">
        <v>0</v>
      </c>
      <c r="AA658" s="117">
        <v>0</v>
      </c>
      <c r="AB658" s="117">
        <v>0</v>
      </c>
      <c r="AC658" s="117">
        <v>0</v>
      </c>
    </row>
    <row r="659" spans="1:29" s="4" customFormat="1" ht="30" customHeight="1" x14ac:dyDescent="0.3">
      <c r="A659" s="73" t="s">
        <v>795</v>
      </c>
      <c r="B659" s="73" t="s">
        <v>641</v>
      </c>
      <c r="C659" s="66" t="s">
        <v>69</v>
      </c>
      <c r="D659" s="73" t="s">
        <v>74</v>
      </c>
      <c r="E659" s="144">
        <v>88</v>
      </c>
      <c r="F659" s="73" t="s">
        <v>87</v>
      </c>
      <c r="G659" s="66">
        <v>21101</v>
      </c>
      <c r="H659" s="80" t="s">
        <v>500</v>
      </c>
      <c r="I659" s="81" t="s">
        <v>855</v>
      </c>
      <c r="J659" s="80" t="s">
        <v>856</v>
      </c>
      <c r="K659" s="91" t="s">
        <v>32</v>
      </c>
      <c r="L659" s="72" t="s">
        <v>32</v>
      </c>
      <c r="M659" s="145" t="s">
        <v>54</v>
      </c>
      <c r="N659" s="91">
        <v>3</v>
      </c>
      <c r="O659" s="91">
        <v>163.9</v>
      </c>
      <c r="P659" s="117" t="s">
        <v>60</v>
      </c>
      <c r="Q659" s="117">
        <v>492</v>
      </c>
      <c r="R659" s="117">
        <v>0</v>
      </c>
      <c r="S659" s="117">
        <v>492</v>
      </c>
      <c r="T659" s="117">
        <v>0</v>
      </c>
      <c r="U659" s="117">
        <v>0</v>
      </c>
      <c r="V659" s="117">
        <v>0</v>
      </c>
      <c r="W659" s="117">
        <v>0</v>
      </c>
      <c r="X659" s="117">
        <v>0</v>
      </c>
      <c r="Y659" s="117">
        <v>0</v>
      </c>
      <c r="Z659" s="117">
        <v>0</v>
      </c>
      <c r="AA659" s="117">
        <v>0</v>
      </c>
      <c r="AB659" s="117">
        <v>0</v>
      </c>
      <c r="AC659" s="117">
        <v>0</v>
      </c>
    </row>
    <row r="660" spans="1:29" s="4" customFormat="1" ht="30" customHeight="1" x14ac:dyDescent="0.3">
      <c r="A660" s="73" t="s">
        <v>795</v>
      </c>
      <c r="B660" s="73" t="s">
        <v>641</v>
      </c>
      <c r="C660" s="66" t="s">
        <v>69</v>
      </c>
      <c r="D660" s="73" t="s">
        <v>74</v>
      </c>
      <c r="E660" s="144">
        <v>88</v>
      </c>
      <c r="F660" s="73" t="s">
        <v>87</v>
      </c>
      <c r="G660" s="66">
        <v>21101</v>
      </c>
      <c r="H660" s="80" t="s">
        <v>500</v>
      </c>
      <c r="I660" s="81" t="s">
        <v>857</v>
      </c>
      <c r="J660" s="80" t="s">
        <v>858</v>
      </c>
      <c r="K660" s="91" t="s">
        <v>32</v>
      </c>
      <c r="L660" s="72" t="s">
        <v>32</v>
      </c>
      <c r="M660" s="145" t="s">
        <v>54</v>
      </c>
      <c r="N660" s="91">
        <v>3</v>
      </c>
      <c r="O660" s="91">
        <v>76.64800000000001</v>
      </c>
      <c r="P660" s="117" t="s">
        <v>60</v>
      </c>
      <c r="Q660" s="117">
        <v>230</v>
      </c>
      <c r="R660" s="117">
        <v>0</v>
      </c>
      <c r="S660" s="117">
        <v>230</v>
      </c>
      <c r="T660" s="117">
        <v>0</v>
      </c>
      <c r="U660" s="117">
        <v>0</v>
      </c>
      <c r="V660" s="117">
        <v>0</v>
      </c>
      <c r="W660" s="117">
        <v>0</v>
      </c>
      <c r="X660" s="117">
        <v>0</v>
      </c>
      <c r="Y660" s="117">
        <v>0</v>
      </c>
      <c r="Z660" s="117">
        <v>0</v>
      </c>
      <c r="AA660" s="117">
        <v>0</v>
      </c>
      <c r="AB660" s="117">
        <v>0</v>
      </c>
      <c r="AC660" s="117">
        <v>0</v>
      </c>
    </row>
    <row r="661" spans="1:29" s="4" customFormat="1" ht="30" customHeight="1" x14ac:dyDescent="0.3">
      <c r="A661" s="73" t="s">
        <v>795</v>
      </c>
      <c r="B661" s="73" t="s">
        <v>641</v>
      </c>
      <c r="C661" s="66" t="s">
        <v>69</v>
      </c>
      <c r="D661" s="73" t="s">
        <v>74</v>
      </c>
      <c r="E661" s="144">
        <v>88</v>
      </c>
      <c r="F661" s="73" t="s">
        <v>87</v>
      </c>
      <c r="G661" s="66">
        <v>21101</v>
      </c>
      <c r="H661" s="80" t="s">
        <v>500</v>
      </c>
      <c r="I661" s="81" t="s">
        <v>311</v>
      </c>
      <c r="J661" s="80" t="s">
        <v>45</v>
      </c>
      <c r="K661" s="91" t="s">
        <v>32</v>
      </c>
      <c r="L661" s="72" t="s">
        <v>32</v>
      </c>
      <c r="M661" s="146" t="s">
        <v>54</v>
      </c>
      <c r="N661" s="91">
        <v>3</v>
      </c>
      <c r="O661" s="91">
        <v>104.5</v>
      </c>
      <c r="P661" s="117" t="s">
        <v>60</v>
      </c>
      <c r="Q661" s="117">
        <v>314</v>
      </c>
      <c r="R661" s="117">
        <v>0</v>
      </c>
      <c r="S661" s="117">
        <v>314</v>
      </c>
      <c r="T661" s="117">
        <v>0</v>
      </c>
      <c r="U661" s="117">
        <v>0</v>
      </c>
      <c r="V661" s="117">
        <v>0</v>
      </c>
      <c r="W661" s="117">
        <v>0</v>
      </c>
      <c r="X661" s="117">
        <v>0</v>
      </c>
      <c r="Y661" s="117">
        <v>0</v>
      </c>
      <c r="Z661" s="117">
        <v>0</v>
      </c>
      <c r="AA661" s="117">
        <v>0</v>
      </c>
      <c r="AB661" s="117">
        <v>0</v>
      </c>
      <c r="AC661" s="117">
        <v>0</v>
      </c>
    </row>
    <row r="662" spans="1:29" s="4" customFormat="1" ht="30" customHeight="1" x14ac:dyDescent="0.3">
      <c r="A662" s="73" t="s">
        <v>795</v>
      </c>
      <c r="B662" s="73" t="s">
        <v>641</v>
      </c>
      <c r="C662" s="66" t="s">
        <v>69</v>
      </c>
      <c r="D662" s="73" t="s">
        <v>74</v>
      </c>
      <c r="E662" s="144">
        <v>88</v>
      </c>
      <c r="F662" s="73" t="s">
        <v>87</v>
      </c>
      <c r="G662" s="66">
        <v>21101</v>
      </c>
      <c r="H662" s="80" t="s">
        <v>500</v>
      </c>
      <c r="I662" s="81" t="s">
        <v>859</v>
      </c>
      <c r="J662" s="80" t="s">
        <v>860</v>
      </c>
      <c r="K662" s="91" t="s">
        <v>32</v>
      </c>
      <c r="L662" s="72" t="s">
        <v>32</v>
      </c>
      <c r="M662" s="145" t="s">
        <v>55</v>
      </c>
      <c r="N662" s="91">
        <v>3</v>
      </c>
      <c r="O662" s="91">
        <v>30.25</v>
      </c>
      <c r="P662" s="117" t="s">
        <v>60</v>
      </c>
      <c r="Q662" s="117">
        <v>91</v>
      </c>
      <c r="R662" s="117">
        <v>0</v>
      </c>
      <c r="S662" s="117">
        <v>91</v>
      </c>
      <c r="T662" s="117">
        <v>0</v>
      </c>
      <c r="U662" s="117">
        <v>0</v>
      </c>
      <c r="V662" s="117">
        <v>0</v>
      </c>
      <c r="W662" s="117">
        <v>0</v>
      </c>
      <c r="X662" s="117">
        <v>0</v>
      </c>
      <c r="Y662" s="117">
        <v>0</v>
      </c>
      <c r="Z662" s="117">
        <v>0</v>
      </c>
      <c r="AA662" s="117">
        <v>0</v>
      </c>
      <c r="AB662" s="117">
        <v>0</v>
      </c>
      <c r="AC662" s="117">
        <v>0</v>
      </c>
    </row>
    <row r="663" spans="1:29" s="4" customFormat="1" ht="30" customHeight="1" x14ac:dyDescent="0.3">
      <c r="A663" s="73" t="s">
        <v>795</v>
      </c>
      <c r="B663" s="73" t="s">
        <v>641</v>
      </c>
      <c r="C663" s="66" t="s">
        <v>69</v>
      </c>
      <c r="D663" s="73" t="s">
        <v>74</v>
      </c>
      <c r="E663" s="144">
        <v>88</v>
      </c>
      <c r="F663" s="73" t="s">
        <v>87</v>
      </c>
      <c r="G663" s="66">
        <v>21101</v>
      </c>
      <c r="H663" s="80" t="s">
        <v>500</v>
      </c>
      <c r="I663" s="81" t="s">
        <v>274</v>
      </c>
      <c r="J663" s="80" t="s">
        <v>53</v>
      </c>
      <c r="K663" s="91" t="s">
        <v>32</v>
      </c>
      <c r="L663" s="72" t="s">
        <v>32</v>
      </c>
      <c r="M663" s="146" t="s">
        <v>54</v>
      </c>
      <c r="N663" s="91">
        <v>48</v>
      </c>
      <c r="O663" s="91">
        <v>6.2700000000000005</v>
      </c>
      <c r="P663" s="117" t="s">
        <v>60</v>
      </c>
      <c r="Q663" s="117">
        <v>301</v>
      </c>
      <c r="R663" s="117">
        <v>0</v>
      </c>
      <c r="S663" s="117">
        <v>0</v>
      </c>
      <c r="T663" s="117">
        <v>0</v>
      </c>
      <c r="U663" s="117">
        <v>0</v>
      </c>
      <c r="V663" s="117">
        <v>151</v>
      </c>
      <c r="W663" s="117">
        <v>0</v>
      </c>
      <c r="X663" s="117">
        <v>0</v>
      </c>
      <c r="Y663" s="117">
        <v>150</v>
      </c>
      <c r="Z663" s="117">
        <v>0</v>
      </c>
      <c r="AA663" s="117">
        <v>0</v>
      </c>
      <c r="AB663" s="117">
        <v>0</v>
      </c>
      <c r="AC663" s="117">
        <v>0</v>
      </c>
    </row>
    <row r="664" spans="1:29" s="4" customFormat="1" ht="30" customHeight="1" x14ac:dyDescent="0.3">
      <c r="A664" s="73" t="s">
        <v>795</v>
      </c>
      <c r="B664" s="73" t="s">
        <v>641</v>
      </c>
      <c r="C664" s="66" t="s">
        <v>69</v>
      </c>
      <c r="D664" s="73" t="s">
        <v>74</v>
      </c>
      <c r="E664" s="144">
        <v>88</v>
      </c>
      <c r="F664" s="73" t="s">
        <v>87</v>
      </c>
      <c r="G664" s="66">
        <v>21101</v>
      </c>
      <c r="H664" s="80" t="s">
        <v>500</v>
      </c>
      <c r="I664" s="81" t="s">
        <v>861</v>
      </c>
      <c r="J664" s="80" t="s">
        <v>862</v>
      </c>
      <c r="K664" s="91" t="s">
        <v>32</v>
      </c>
      <c r="L664" s="72" t="s">
        <v>32</v>
      </c>
      <c r="M664" s="145" t="s">
        <v>56</v>
      </c>
      <c r="N664" s="91">
        <v>2</v>
      </c>
      <c r="O664" s="91">
        <v>180.29000000000002</v>
      </c>
      <c r="P664" s="117" t="s">
        <v>60</v>
      </c>
      <c r="Q664" s="117">
        <v>361</v>
      </c>
      <c r="R664" s="117">
        <v>0</v>
      </c>
      <c r="S664" s="117">
        <v>361</v>
      </c>
      <c r="T664" s="117">
        <v>0</v>
      </c>
      <c r="U664" s="117">
        <v>0</v>
      </c>
      <c r="V664" s="117">
        <v>0</v>
      </c>
      <c r="W664" s="117">
        <v>0</v>
      </c>
      <c r="X664" s="117">
        <v>0</v>
      </c>
      <c r="Y664" s="117">
        <v>0</v>
      </c>
      <c r="Z664" s="117">
        <v>0</v>
      </c>
      <c r="AA664" s="117">
        <v>0</v>
      </c>
      <c r="AB664" s="117">
        <v>0</v>
      </c>
      <c r="AC664" s="117">
        <v>0</v>
      </c>
    </row>
    <row r="665" spans="1:29" s="4" customFormat="1" ht="30" customHeight="1" x14ac:dyDescent="0.3">
      <c r="A665" s="73" t="s">
        <v>795</v>
      </c>
      <c r="B665" s="73" t="s">
        <v>641</v>
      </c>
      <c r="C665" s="66" t="s">
        <v>69</v>
      </c>
      <c r="D665" s="73" t="s">
        <v>74</v>
      </c>
      <c r="E665" s="144">
        <v>88</v>
      </c>
      <c r="F665" s="73" t="s">
        <v>87</v>
      </c>
      <c r="G665" s="66">
        <v>21101</v>
      </c>
      <c r="H665" s="80" t="s">
        <v>500</v>
      </c>
      <c r="I665" s="81" t="s">
        <v>863</v>
      </c>
      <c r="J665" s="80" t="s">
        <v>864</v>
      </c>
      <c r="K665" s="91" t="s">
        <v>32</v>
      </c>
      <c r="L665" s="72" t="s">
        <v>32</v>
      </c>
      <c r="M665" s="146" t="s">
        <v>54</v>
      </c>
      <c r="N665" s="91">
        <v>10</v>
      </c>
      <c r="O665" s="91">
        <v>49.5</v>
      </c>
      <c r="P665" s="117" t="s">
        <v>60</v>
      </c>
      <c r="Q665" s="117">
        <v>495</v>
      </c>
      <c r="R665" s="117">
        <v>0</v>
      </c>
      <c r="S665" s="117">
        <v>0</v>
      </c>
      <c r="T665" s="117">
        <v>0</v>
      </c>
      <c r="U665" s="117">
        <v>0</v>
      </c>
      <c r="V665" s="117">
        <v>495</v>
      </c>
      <c r="W665" s="117">
        <v>0</v>
      </c>
      <c r="X665" s="117">
        <v>0</v>
      </c>
      <c r="Y665" s="117">
        <v>0</v>
      </c>
      <c r="Z665" s="117">
        <v>0</v>
      </c>
      <c r="AA665" s="117">
        <v>0</v>
      </c>
      <c r="AB665" s="117">
        <v>0</v>
      </c>
      <c r="AC665" s="117">
        <v>0</v>
      </c>
    </row>
    <row r="666" spans="1:29" s="4" customFormat="1" ht="30" customHeight="1" x14ac:dyDescent="0.3">
      <c r="A666" s="73" t="s">
        <v>795</v>
      </c>
      <c r="B666" s="73" t="s">
        <v>641</v>
      </c>
      <c r="C666" s="66" t="s">
        <v>69</v>
      </c>
      <c r="D666" s="73" t="s">
        <v>74</v>
      </c>
      <c r="E666" s="144">
        <v>88</v>
      </c>
      <c r="F666" s="73" t="s">
        <v>87</v>
      </c>
      <c r="G666" s="66">
        <v>21101</v>
      </c>
      <c r="H666" s="80" t="s">
        <v>500</v>
      </c>
      <c r="I666" s="81" t="s">
        <v>323</v>
      </c>
      <c r="J666" s="80" t="s">
        <v>85</v>
      </c>
      <c r="K666" s="91" t="s">
        <v>32</v>
      </c>
      <c r="L666" s="72" t="s">
        <v>32</v>
      </c>
      <c r="M666" s="145" t="s">
        <v>58</v>
      </c>
      <c r="N666" s="91">
        <v>10</v>
      </c>
      <c r="O666" s="91">
        <v>16.830000000000002</v>
      </c>
      <c r="P666" s="117" t="s">
        <v>60</v>
      </c>
      <c r="Q666" s="117">
        <v>168</v>
      </c>
      <c r="R666" s="117">
        <v>0</v>
      </c>
      <c r="S666" s="117">
        <v>0</v>
      </c>
      <c r="T666" s="117">
        <v>0</v>
      </c>
      <c r="U666" s="117">
        <v>0</v>
      </c>
      <c r="V666" s="117">
        <v>168</v>
      </c>
      <c r="W666" s="117">
        <v>0</v>
      </c>
      <c r="X666" s="117">
        <v>0</v>
      </c>
      <c r="Y666" s="117">
        <v>0</v>
      </c>
      <c r="Z666" s="117">
        <v>0</v>
      </c>
      <c r="AA666" s="117">
        <v>0</v>
      </c>
      <c r="AB666" s="117">
        <v>0</v>
      </c>
      <c r="AC666" s="117">
        <v>0</v>
      </c>
    </row>
    <row r="667" spans="1:29" s="4" customFormat="1" ht="30" customHeight="1" x14ac:dyDescent="0.3">
      <c r="A667" s="73" t="s">
        <v>795</v>
      </c>
      <c r="B667" s="73" t="s">
        <v>641</v>
      </c>
      <c r="C667" s="66" t="s">
        <v>69</v>
      </c>
      <c r="D667" s="73" t="s">
        <v>74</v>
      </c>
      <c r="E667" s="144">
        <v>88</v>
      </c>
      <c r="F667" s="73" t="s">
        <v>87</v>
      </c>
      <c r="G667" s="66">
        <v>21101</v>
      </c>
      <c r="H667" s="80" t="s">
        <v>500</v>
      </c>
      <c r="I667" s="81" t="s">
        <v>865</v>
      </c>
      <c r="J667" s="80" t="s">
        <v>866</v>
      </c>
      <c r="K667" s="91" t="s">
        <v>32</v>
      </c>
      <c r="L667" s="72" t="s">
        <v>32</v>
      </c>
      <c r="M667" s="146" t="s">
        <v>54</v>
      </c>
      <c r="N667" s="91">
        <v>100</v>
      </c>
      <c r="O667" s="91">
        <v>2.3980000000000001</v>
      </c>
      <c r="P667" s="117" t="s">
        <v>60</v>
      </c>
      <c r="Q667" s="117">
        <v>240</v>
      </c>
      <c r="R667" s="117">
        <v>0</v>
      </c>
      <c r="S667" s="117">
        <v>60</v>
      </c>
      <c r="T667" s="117">
        <v>0</v>
      </c>
      <c r="U667" s="117">
        <v>0</v>
      </c>
      <c r="V667" s="117">
        <v>60</v>
      </c>
      <c r="W667" s="117">
        <v>0</v>
      </c>
      <c r="X667" s="117">
        <v>0</v>
      </c>
      <c r="Y667" s="117">
        <v>60</v>
      </c>
      <c r="Z667" s="117">
        <v>0</v>
      </c>
      <c r="AA667" s="117">
        <v>0</v>
      </c>
      <c r="AB667" s="117">
        <v>60</v>
      </c>
      <c r="AC667" s="117">
        <v>0</v>
      </c>
    </row>
    <row r="668" spans="1:29" s="4" customFormat="1" ht="30" customHeight="1" x14ac:dyDescent="0.3">
      <c r="A668" s="73" t="s">
        <v>795</v>
      </c>
      <c r="B668" s="73" t="s">
        <v>641</v>
      </c>
      <c r="C668" s="66" t="s">
        <v>69</v>
      </c>
      <c r="D668" s="73" t="s">
        <v>74</v>
      </c>
      <c r="E668" s="144">
        <v>88</v>
      </c>
      <c r="F668" s="73" t="s">
        <v>87</v>
      </c>
      <c r="G668" s="66">
        <v>21101</v>
      </c>
      <c r="H668" s="80" t="s">
        <v>500</v>
      </c>
      <c r="I668" s="81" t="s">
        <v>806</v>
      </c>
      <c r="J668" s="80" t="s">
        <v>807</v>
      </c>
      <c r="K668" s="91" t="s">
        <v>32</v>
      </c>
      <c r="L668" s="72" t="s">
        <v>32</v>
      </c>
      <c r="M668" s="145" t="s">
        <v>55</v>
      </c>
      <c r="N668" s="91">
        <v>72</v>
      </c>
      <c r="O668" s="91">
        <v>38.5</v>
      </c>
      <c r="P668" s="117" t="s">
        <v>60</v>
      </c>
      <c r="Q668" s="117">
        <v>2772</v>
      </c>
      <c r="R668" s="117">
        <v>0</v>
      </c>
      <c r="S668" s="117">
        <v>2772</v>
      </c>
      <c r="T668" s="117">
        <v>0</v>
      </c>
      <c r="U668" s="117">
        <v>0</v>
      </c>
      <c r="V668" s="117">
        <v>0</v>
      </c>
      <c r="W668" s="117">
        <v>0</v>
      </c>
      <c r="X668" s="117">
        <v>0</v>
      </c>
      <c r="Y668" s="117">
        <v>0</v>
      </c>
      <c r="Z668" s="117">
        <v>0</v>
      </c>
      <c r="AA668" s="117">
        <v>0</v>
      </c>
      <c r="AB668" s="117">
        <v>0</v>
      </c>
      <c r="AC668" s="117">
        <v>0</v>
      </c>
    </row>
    <row r="669" spans="1:29" s="4" customFormat="1" ht="30" customHeight="1" x14ac:dyDescent="0.3">
      <c r="A669" s="73" t="s">
        <v>795</v>
      </c>
      <c r="B669" s="73" t="s">
        <v>641</v>
      </c>
      <c r="C669" s="66" t="s">
        <v>69</v>
      </c>
      <c r="D669" s="73" t="s">
        <v>74</v>
      </c>
      <c r="E669" s="144">
        <v>88</v>
      </c>
      <c r="F669" s="73" t="s">
        <v>87</v>
      </c>
      <c r="G669" s="66">
        <v>21101</v>
      </c>
      <c r="H669" s="80" t="s">
        <v>500</v>
      </c>
      <c r="I669" s="81" t="s">
        <v>501</v>
      </c>
      <c r="J669" s="80" t="s">
        <v>502</v>
      </c>
      <c r="K669" s="91" t="s">
        <v>32</v>
      </c>
      <c r="L669" s="72" t="s">
        <v>32</v>
      </c>
      <c r="M669" s="146" t="s">
        <v>55</v>
      </c>
      <c r="N669" s="91">
        <v>8</v>
      </c>
      <c r="O669" s="91">
        <v>787.072</v>
      </c>
      <c r="P669" s="117" t="s">
        <v>60</v>
      </c>
      <c r="Q669" s="117">
        <v>6297</v>
      </c>
      <c r="R669" s="117">
        <v>0</v>
      </c>
      <c r="S669" s="117">
        <v>0</v>
      </c>
      <c r="T669" s="117">
        <v>0</v>
      </c>
      <c r="U669" s="117">
        <v>0</v>
      </c>
      <c r="V669" s="117">
        <v>2362</v>
      </c>
      <c r="W669" s="117">
        <v>0</v>
      </c>
      <c r="X669" s="117">
        <v>0</v>
      </c>
      <c r="Y669" s="117">
        <v>3935</v>
      </c>
      <c r="Z669" s="117">
        <v>0</v>
      </c>
      <c r="AA669" s="117">
        <v>0</v>
      </c>
      <c r="AB669" s="117">
        <v>0</v>
      </c>
      <c r="AC669" s="117">
        <v>0</v>
      </c>
    </row>
    <row r="670" spans="1:29" s="4" customFormat="1" ht="30" customHeight="1" x14ac:dyDescent="0.3">
      <c r="A670" s="73" t="s">
        <v>795</v>
      </c>
      <c r="B670" s="73" t="s">
        <v>641</v>
      </c>
      <c r="C670" s="66" t="s">
        <v>69</v>
      </c>
      <c r="D670" s="73" t="s">
        <v>74</v>
      </c>
      <c r="E670" s="144">
        <v>88</v>
      </c>
      <c r="F670" s="73" t="s">
        <v>87</v>
      </c>
      <c r="G670" s="66">
        <v>21101</v>
      </c>
      <c r="H670" s="80" t="s">
        <v>500</v>
      </c>
      <c r="I670" s="81" t="s">
        <v>299</v>
      </c>
      <c r="J670" s="80" t="s">
        <v>867</v>
      </c>
      <c r="K670" s="91" t="s">
        <v>32</v>
      </c>
      <c r="L670" s="72" t="s">
        <v>32</v>
      </c>
      <c r="M670" s="146" t="s">
        <v>56</v>
      </c>
      <c r="N670" s="91">
        <v>7</v>
      </c>
      <c r="O670" s="91">
        <v>259.60000000000002</v>
      </c>
      <c r="P670" s="117" t="s">
        <v>60</v>
      </c>
      <c r="Q670" s="117">
        <v>1817</v>
      </c>
      <c r="R670" s="117">
        <v>0</v>
      </c>
      <c r="S670" s="117">
        <v>1298</v>
      </c>
      <c r="T670" s="117">
        <v>0</v>
      </c>
      <c r="U670" s="117">
        <v>0</v>
      </c>
      <c r="V670" s="117">
        <v>0</v>
      </c>
      <c r="W670" s="117">
        <v>0</v>
      </c>
      <c r="X670" s="117">
        <v>0</v>
      </c>
      <c r="Y670" s="117">
        <v>519</v>
      </c>
      <c r="Z670" s="117">
        <v>0</v>
      </c>
      <c r="AA670" s="117">
        <v>0</v>
      </c>
      <c r="AB670" s="117">
        <v>0</v>
      </c>
      <c r="AC670" s="117">
        <v>0</v>
      </c>
    </row>
    <row r="671" spans="1:29" s="4" customFormat="1" ht="30" customHeight="1" x14ac:dyDescent="0.3">
      <c r="A671" s="73" t="s">
        <v>795</v>
      </c>
      <c r="B671" s="73" t="s">
        <v>641</v>
      </c>
      <c r="C671" s="66" t="s">
        <v>69</v>
      </c>
      <c r="D671" s="73" t="s">
        <v>74</v>
      </c>
      <c r="E671" s="144">
        <v>88</v>
      </c>
      <c r="F671" s="73" t="s">
        <v>87</v>
      </c>
      <c r="G671" s="66">
        <v>21101</v>
      </c>
      <c r="H671" s="80" t="s">
        <v>500</v>
      </c>
      <c r="I671" s="81" t="s">
        <v>868</v>
      </c>
      <c r="J671" s="80" t="s">
        <v>869</v>
      </c>
      <c r="K671" s="91" t="s">
        <v>32</v>
      </c>
      <c r="L671" s="72" t="s">
        <v>32</v>
      </c>
      <c r="M671" s="146" t="s">
        <v>55</v>
      </c>
      <c r="N671" s="91">
        <v>9</v>
      </c>
      <c r="O671" s="91">
        <v>1043.1079999999999</v>
      </c>
      <c r="P671" s="117" t="s">
        <v>60</v>
      </c>
      <c r="Q671" s="117">
        <v>9388</v>
      </c>
      <c r="R671" s="117">
        <v>0</v>
      </c>
      <c r="S671" s="117">
        <v>5214</v>
      </c>
      <c r="T671" s="117">
        <v>0</v>
      </c>
      <c r="U671" s="117">
        <v>0</v>
      </c>
      <c r="V671" s="117">
        <v>4174</v>
      </c>
      <c r="W671" s="117">
        <v>0</v>
      </c>
      <c r="X671" s="117">
        <v>0</v>
      </c>
      <c r="Y671" s="117">
        <v>0</v>
      </c>
      <c r="Z671" s="117">
        <v>0</v>
      </c>
      <c r="AA671" s="117">
        <v>0</v>
      </c>
      <c r="AB671" s="117">
        <v>0</v>
      </c>
      <c r="AC671" s="117">
        <v>0</v>
      </c>
    </row>
    <row r="672" spans="1:29" s="4" customFormat="1" ht="30" customHeight="1" x14ac:dyDescent="0.3">
      <c r="A672" s="73" t="s">
        <v>795</v>
      </c>
      <c r="B672" s="73" t="s">
        <v>641</v>
      </c>
      <c r="C672" s="66" t="s">
        <v>69</v>
      </c>
      <c r="D672" s="73" t="s">
        <v>74</v>
      </c>
      <c r="E672" s="144">
        <v>88</v>
      </c>
      <c r="F672" s="73" t="s">
        <v>87</v>
      </c>
      <c r="G672" s="66">
        <v>21101</v>
      </c>
      <c r="H672" s="80" t="s">
        <v>500</v>
      </c>
      <c r="I672" s="81" t="s">
        <v>254</v>
      </c>
      <c r="J672" s="80" t="s">
        <v>48</v>
      </c>
      <c r="K672" s="91" t="s">
        <v>32</v>
      </c>
      <c r="L672" s="72" t="s">
        <v>32</v>
      </c>
      <c r="M672" s="146" t="s">
        <v>54</v>
      </c>
      <c r="N672" s="91">
        <v>8</v>
      </c>
      <c r="O672" s="91">
        <v>27.192</v>
      </c>
      <c r="P672" s="117" t="s">
        <v>60</v>
      </c>
      <c r="Q672" s="117">
        <v>217</v>
      </c>
      <c r="R672" s="117">
        <v>0</v>
      </c>
      <c r="S672" s="117">
        <v>218</v>
      </c>
      <c r="T672" s="117">
        <v>0</v>
      </c>
      <c r="U672" s="117">
        <v>0</v>
      </c>
      <c r="V672" s="117">
        <v>0</v>
      </c>
      <c r="W672" s="117">
        <v>0</v>
      </c>
      <c r="X672" s="117">
        <v>0</v>
      </c>
      <c r="Y672" s="117">
        <v>0</v>
      </c>
      <c r="Z672" s="117">
        <v>0</v>
      </c>
      <c r="AA672" s="117">
        <v>0</v>
      </c>
      <c r="AB672" s="117">
        <v>0</v>
      </c>
      <c r="AC672" s="117">
        <v>0</v>
      </c>
    </row>
    <row r="673" spans="1:29" s="4" customFormat="1" ht="30" customHeight="1" x14ac:dyDescent="0.3">
      <c r="A673" s="73" t="s">
        <v>795</v>
      </c>
      <c r="B673" s="73" t="s">
        <v>641</v>
      </c>
      <c r="C673" s="66" t="s">
        <v>69</v>
      </c>
      <c r="D673" s="73" t="s">
        <v>74</v>
      </c>
      <c r="E673" s="144">
        <v>88</v>
      </c>
      <c r="F673" s="73" t="s">
        <v>87</v>
      </c>
      <c r="G673" s="66">
        <v>21101</v>
      </c>
      <c r="H673" s="80" t="s">
        <v>500</v>
      </c>
      <c r="I673" s="81" t="s">
        <v>870</v>
      </c>
      <c r="J673" s="80" t="s">
        <v>871</v>
      </c>
      <c r="K673" s="91" t="s">
        <v>32</v>
      </c>
      <c r="L673" s="72" t="s">
        <v>32</v>
      </c>
      <c r="M673" s="146" t="s">
        <v>54</v>
      </c>
      <c r="N673" s="91">
        <v>3</v>
      </c>
      <c r="O673" s="91">
        <v>29.59</v>
      </c>
      <c r="P673" s="117" t="s">
        <v>60</v>
      </c>
      <c r="Q673" s="117">
        <v>89</v>
      </c>
      <c r="R673" s="117">
        <v>0</v>
      </c>
      <c r="S673" s="117">
        <v>89</v>
      </c>
      <c r="T673" s="117">
        <v>0</v>
      </c>
      <c r="U673" s="117">
        <v>0</v>
      </c>
      <c r="V673" s="117">
        <v>0</v>
      </c>
      <c r="W673" s="117">
        <v>0</v>
      </c>
      <c r="X673" s="117">
        <v>0</v>
      </c>
      <c r="Y673" s="117">
        <v>0</v>
      </c>
      <c r="Z673" s="117">
        <v>0</v>
      </c>
      <c r="AA673" s="117">
        <v>0</v>
      </c>
      <c r="AB673" s="117">
        <v>0</v>
      </c>
      <c r="AC673" s="117">
        <v>0</v>
      </c>
    </row>
    <row r="674" spans="1:29" s="4" customFormat="1" ht="30" customHeight="1" x14ac:dyDescent="0.3">
      <c r="A674" s="73" t="s">
        <v>795</v>
      </c>
      <c r="B674" s="73" t="s">
        <v>641</v>
      </c>
      <c r="C674" s="66" t="s">
        <v>69</v>
      </c>
      <c r="D674" s="73" t="s">
        <v>74</v>
      </c>
      <c r="E674" s="144">
        <v>88</v>
      </c>
      <c r="F674" s="73" t="s">
        <v>87</v>
      </c>
      <c r="G674" s="66">
        <v>21101</v>
      </c>
      <c r="H674" s="80" t="s">
        <v>500</v>
      </c>
      <c r="I674" s="81" t="s">
        <v>324</v>
      </c>
      <c r="J674" s="80" t="s">
        <v>49</v>
      </c>
      <c r="K674" s="91" t="s">
        <v>32</v>
      </c>
      <c r="L674" s="72" t="s">
        <v>32</v>
      </c>
      <c r="M674" s="146" t="s">
        <v>54</v>
      </c>
      <c r="N674" s="91">
        <v>50</v>
      </c>
      <c r="O674" s="91">
        <v>31.603000000000002</v>
      </c>
      <c r="P674" s="117" t="s">
        <v>60</v>
      </c>
      <c r="Q674" s="117">
        <v>1580</v>
      </c>
      <c r="R674" s="117">
        <v>0</v>
      </c>
      <c r="S674" s="117">
        <v>790</v>
      </c>
      <c r="T674" s="117">
        <v>0</v>
      </c>
      <c r="U674" s="117">
        <v>0</v>
      </c>
      <c r="V674" s="117">
        <v>0</v>
      </c>
      <c r="W674" s="117">
        <v>0</v>
      </c>
      <c r="X674" s="117">
        <v>0</v>
      </c>
      <c r="Y674" s="117">
        <v>790</v>
      </c>
      <c r="Z674" s="117">
        <v>0</v>
      </c>
      <c r="AA674" s="117">
        <v>0</v>
      </c>
      <c r="AB674" s="117">
        <v>0</v>
      </c>
      <c r="AC674" s="117">
        <v>0</v>
      </c>
    </row>
    <row r="675" spans="1:29" s="4" customFormat="1" ht="30" customHeight="1" x14ac:dyDescent="0.3">
      <c r="A675" s="73" t="s">
        <v>795</v>
      </c>
      <c r="B675" s="73" t="s">
        <v>641</v>
      </c>
      <c r="C675" s="66" t="s">
        <v>69</v>
      </c>
      <c r="D675" s="73" t="s">
        <v>74</v>
      </c>
      <c r="E675" s="144">
        <v>88</v>
      </c>
      <c r="F675" s="73" t="s">
        <v>87</v>
      </c>
      <c r="G675" s="66">
        <v>21101</v>
      </c>
      <c r="H675" s="80" t="s">
        <v>500</v>
      </c>
      <c r="I675" s="81" t="s">
        <v>818</v>
      </c>
      <c r="J675" s="80" t="s">
        <v>819</v>
      </c>
      <c r="K675" s="91" t="s">
        <v>32</v>
      </c>
      <c r="L675" s="72" t="s">
        <v>32</v>
      </c>
      <c r="M675" s="146" t="s">
        <v>54</v>
      </c>
      <c r="N675" s="91">
        <v>2</v>
      </c>
      <c r="O675" s="91">
        <v>38.5</v>
      </c>
      <c r="P675" s="117" t="s">
        <v>60</v>
      </c>
      <c r="Q675" s="117">
        <v>77</v>
      </c>
      <c r="R675" s="117">
        <v>0</v>
      </c>
      <c r="S675" s="117">
        <v>77</v>
      </c>
      <c r="T675" s="117">
        <v>0</v>
      </c>
      <c r="U675" s="117">
        <v>0</v>
      </c>
      <c r="V675" s="117">
        <v>0</v>
      </c>
      <c r="W675" s="117">
        <v>0</v>
      </c>
      <c r="X675" s="117">
        <v>0</v>
      </c>
      <c r="Y675" s="117">
        <v>0</v>
      </c>
      <c r="Z675" s="117">
        <v>0</v>
      </c>
      <c r="AA675" s="117">
        <v>0</v>
      </c>
      <c r="AB675" s="117">
        <v>0</v>
      </c>
      <c r="AC675" s="117">
        <v>0</v>
      </c>
    </row>
    <row r="676" spans="1:29" s="4" customFormat="1" ht="30" customHeight="1" x14ac:dyDescent="0.3">
      <c r="A676" s="73" t="s">
        <v>795</v>
      </c>
      <c r="B676" s="73" t="s">
        <v>641</v>
      </c>
      <c r="C676" s="66" t="s">
        <v>69</v>
      </c>
      <c r="D676" s="73" t="s">
        <v>74</v>
      </c>
      <c r="E676" s="144">
        <v>88</v>
      </c>
      <c r="F676" s="73" t="s">
        <v>87</v>
      </c>
      <c r="G676" s="66">
        <v>21101</v>
      </c>
      <c r="H676" s="80" t="s">
        <v>500</v>
      </c>
      <c r="I676" s="81" t="s">
        <v>872</v>
      </c>
      <c r="J676" s="80" t="s">
        <v>873</v>
      </c>
      <c r="K676" s="91" t="s">
        <v>32</v>
      </c>
      <c r="L676" s="72" t="s">
        <v>32</v>
      </c>
      <c r="M676" s="146" t="s">
        <v>59</v>
      </c>
      <c r="N676" s="91">
        <v>3</v>
      </c>
      <c r="O676" s="91">
        <v>38.5</v>
      </c>
      <c r="P676" s="117" t="s">
        <v>60</v>
      </c>
      <c r="Q676" s="117">
        <v>116</v>
      </c>
      <c r="R676" s="117">
        <v>0</v>
      </c>
      <c r="S676" s="117">
        <v>116</v>
      </c>
      <c r="T676" s="117">
        <v>0</v>
      </c>
      <c r="U676" s="117">
        <v>0</v>
      </c>
      <c r="V676" s="117">
        <v>0</v>
      </c>
      <c r="W676" s="117">
        <v>0</v>
      </c>
      <c r="X676" s="117">
        <v>0</v>
      </c>
      <c r="Y676" s="117">
        <v>0</v>
      </c>
      <c r="Z676" s="117">
        <v>0</v>
      </c>
      <c r="AA676" s="117">
        <v>0</v>
      </c>
      <c r="AB676" s="117">
        <v>0</v>
      </c>
      <c r="AC676" s="117">
        <v>0</v>
      </c>
    </row>
    <row r="677" spans="1:29" s="4" customFormat="1" ht="30" customHeight="1" x14ac:dyDescent="0.3">
      <c r="A677" s="73" t="s">
        <v>795</v>
      </c>
      <c r="B677" s="73" t="s">
        <v>641</v>
      </c>
      <c r="C677" s="66" t="s">
        <v>69</v>
      </c>
      <c r="D677" s="73" t="s">
        <v>74</v>
      </c>
      <c r="E677" s="144">
        <v>88</v>
      </c>
      <c r="F677" s="73" t="s">
        <v>87</v>
      </c>
      <c r="G677" s="66">
        <v>21101</v>
      </c>
      <c r="H677" s="80" t="s">
        <v>500</v>
      </c>
      <c r="I677" s="81" t="s">
        <v>874</v>
      </c>
      <c r="J677" s="80" t="s">
        <v>875</v>
      </c>
      <c r="K677" s="91" t="s">
        <v>32</v>
      </c>
      <c r="L677" s="72" t="s">
        <v>32</v>
      </c>
      <c r="M677" s="146" t="s">
        <v>59</v>
      </c>
      <c r="N677" s="91">
        <v>3</v>
      </c>
      <c r="O677" s="91">
        <v>28.137999999999998</v>
      </c>
      <c r="P677" s="117" t="s">
        <v>60</v>
      </c>
      <c r="Q677" s="117">
        <v>84</v>
      </c>
      <c r="R677" s="117">
        <v>0</v>
      </c>
      <c r="S677" s="117">
        <v>84</v>
      </c>
      <c r="T677" s="117">
        <v>0</v>
      </c>
      <c r="U677" s="117">
        <v>0</v>
      </c>
      <c r="V677" s="117">
        <v>0</v>
      </c>
      <c r="W677" s="117">
        <v>0</v>
      </c>
      <c r="X677" s="117">
        <v>0</v>
      </c>
      <c r="Y677" s="117">
        <v>0</v>
      </c>
      <c r="Z677" s="117">
        <v>0</v>
      </c>
      <c r="AA677" s="117">
        <v>0</v>
      </c>
      <c r="AB677" s="117">
        <v>0</v>
      </c>
      <c r="AC677" s="117">
        <v>0</v>
      </c>
    </row>
    <row r="678" spans="1:29" s="4" customFormat="1" ht="30" customHeight="1" x14ac:dyDescent="0.3">
      <c r="A678" s="73" t="s">
        <v>795</v>
      </c>
      <c r="B678" s="73" t="s">
        <v>641</v>
      </c>
      <c r="C678" s="66" t="s">
        <v>69</v>
      </c>
      <c r="D678" s="73" t="s">
        <v>74</v>
      </c>
      <c r="E678" s="144">
        <v>88</v>
      </c>
      <c r="F678" s="73" t="s">
        <v>87</v>
      </c>
      <c r="G678" s="66">
        <v>21101</v>
      </c>
      <c r="H678" s="80" t="s">
        <v>500</v>
      </c>
      <c r="I678" s="81" t="s">
        <v>876</v>
      </c>
      <c r="J678" s="80" t="s">
        <v>877</v>
      </c>
      <c r="K678" s="91" t="s">
        <v>32</v>
      </c>
      <c r="L678" s="72" t="s">
        <v>32</v>
      </c>
      <c r="M678" s="146" t="s">
        <v>54</v>
      </c>
      <c r="N678" s="91">
        <v>100</v>
      </c>
      <c r="O678" s="91">
        <v>1</v>
      </c>
      <c r="P678" s="117" t="s">
        <v>60</v>
      </c>
      <c r="Q678" s="117">
        <v>100</v>
      </c>
      <c r="R678" s="117">
        <v>0</v>
      </c>
      <c r="S678" s="117">
        <v>0</v>
      </c>
      <c r="T678" s="117">
        <v>0</v>
      </c>
      <c r="U678" s="117">
        <v>0</v>
      </c>
      <c r="V678" s="117">
        <v>50</v>
      </c>
      <c r="W678" s="117">
        <v>0</v>
      </c>
      <c r="X678" s="117">
        <v>0</v>
      </c>
      <c r="Y678" s="117">
        <v>0</v>
      </c>
      <c r="Z678" s="117">
        <v>0</v>
      </c>
      <c r="AA678" s="117">
        <v>0</v>
      </c>
      <c r="AB678" s="117">
        <v>50</v>
      </c>
      <c r="AC678" s="117">
        <v>0</v>
      </c>
    </row>
    <row r="679" spans="1:29" s="4" customFormat="1" ht="30" customHeight="1" x14ac:dyDescent="0.3">
      <c r="A679" s="73" t="s">
        <v>795</v>
      </c>
      <c r="B679" s="73" t="s">
        <v>641</v>
      </c>
      <c r="C679" s="66" t="s">
        <v>69</v>
      </c>
      <c r="D679" s="73" t="s">
        <v>74</v>
      </c>
      <c r="E679" s="144">
        <v>88</v>
      </c>
      <c r="F679" s="73" t="s">
        <v>87</v>
      </c>
      <c r="G679" s="66">
        <v>21101</v>
      </c>
      <c r="H679" s="80" t="s">
        <v>500</v>
      </c>
      <c r="I679" s="81" t="s">
        <v>878</v>
      </c>
      <c r="J679" s="80" t="s">
        <v>879</v>
      </c>
      <c r="K679" s="91" t="s">
        <v>32</v>
      </c>
      <c r="L679" s="72" t="s">
        <v>32</v>
      </c>
      <c r="M679" s="146" t="s">
        <v>54</v>
      </c>
      <c r="N679" s="91">
        <v>5</v>
      </c>
      <c r="O679" s="91">
        <v>258.5</v>
      </c>
      <c r="P679" s="117" t="s">
        <v>60</v>
      </c>
      <c r="Q679" s="117">
        <v>1293</v>
      </c>
      <c r="R679" s="117">
        <v>0</v>
      </c>
      <c r="S679" s="117">
        <v>517</v>
      </c>
      <c r="T679" s="117">
        <v>0</v>
      </c>
      <c r="U679" s="117">
        <v>0</v>
      </c>
      <c r="V679" s="117">
        <v>516</v>
      </c>
      <c r="W679" s="117">
        <v>0</v>
      </c>
      <c r="X679" s="117">
        <v>0</v>
      </c>
      <c r="Y679" s="117">
        <v>260</v>
      </c>
      <c r="Z679" s="117">
        <v>0</v>
      </c>
      <c r="AA679" s="117">
        <v>0</v>
      </c>
      <c r="AB679" s="117">
        <v>0</v>
      </c>
      <c r="AC679" s="117">
        <v>0</v>
      </c>
    </row>
    <row r="680" spans="1:29" s="4" customFormat="1" ht="30" customHeight="1" x14ac:dyDescent="0.3">
      <c r="A680" s="73" t="s">
        <v>795</v>
      </c>
      <c r="B680" s="73" t="s">
        <v>641</v>
      </c>
      <c r="C680" s="66" t="s">
        <v>69</v>
      </c>
      <c r="D680" s="73" t="s">
        <v>74</v>
      </c>
      <c r="E680" s="144">
        <v>88</v>
      </c>
      <c r="F680" s="73" t="s">
        <v>87</v>
      </c>
      <c r="G680" s="66">
        <v>21101</v>
      </c>
      <c r="H680" s="80" t="s">
        <v>500</v>
      </c>
      <c r="I680" s="81" t="s">
        <v>880</v>
      </c>
      <c r="J680" s="80" t="s">
        <v>881</v>
      </c>
      <c r="K680" s="91" t="s">
        <v>32</v>
      </c>
      <c r="L680" s="72" t="s">
        <v>32</v>
      </c>
      <c r="M680" s="146" t="s">
        <v>54</v>
      </c>
      <c r="N680" s="91">
        <v>1</v>
      </c>
      <c r="O680" s="91">
        <v>40.81</v>
      </c>
      <c r="P680" s="117" t="s">
        <v>60</v>
      </c>
      <c r="Q680" s="117">
        <v>41</v>
      </c>
      <c r="R680" s="117">
        <v>0</v>
      </c>
      <c r="S680" s="117">
        <v>0</v>
      </c>
      <c r="T680" s="117">
        <v>0</v>
      </c>
      <c r="U680" s="117">
        <v>0</v>
      </c>
      <c r="V680" s="117">
        <v>0</v>
      </c>
      <c r="W680" s="117">
        <v>0</v>
      </c>
      <c r="X680" s="117">
        <v>0</v>
      </c>
      <c r="Y680" s="117">
        <v>41</v>
      </c>
      <c r="Z680" s="117">
        <v>0</v>
      </c>
      <c r="AA680" s="117">
        <v>0</v>
      </c>
      <c r="AB680" s="117">
        <v>0</v>
      </c>
      <c r="AC680" s="117">
        <v>0</v>
      </c>
    </row>
    <row r="681" spans="1:29" s="4" customFormat="1" ht="30" customHeight="1" x14ac:dyDescent="0.3">
      <c r="A681" s="73" t="s">
        <v>795</v>
      </c>
      <c r="B681" s="73" t="s">
        <v>641</v>
      </c>
      <c r="C681" s="66" t="s">
        <v>69</v>
      </c>
      <c r="D681" s="73" t="s">
        <v>74</v>
      </c>
      <c r="E681" s="144">
        <v>88</v>
      </c>
      <c r="F681" s="73" t="s">
        <v>87</v>
      </c>
      <c r="G681" s="66">
        <v>21101</v>
      </c>
      <c r="H681" s="80" t="s">
        <v>500</v>
      </c>
      <c r="I681" s="81" t="s">
        <v>882</v>
      </c>
      <c r="J681" s="80" t="s">
        <v>883</v>
      </c>
      <c r="K681" s="91" t="s">
        <v>32</v>
      </c>
      <c r="L681" s="72" t="s">
        <v>32</v>
      </c>
      <c r="M681" s="146" t="s">
        <v>54</v>
      </c>
      <c r="N681" s="91">
        <v>1</v>
      </c>
      <c r="O681" s="91">
        <v>40.81</v>
      </c>
      <c r="P681" s="117" t="s">
        <v>60</v>
      </c>
      <c r="Q681" s="117">
        <v>41</v>
      </c>
      <c r="R681" s="117">
        <v>0</v>
      </c>
      <c r="S681" s="117">
        <v>41</v>
      </c>
      <c r="T681" s="117">
        <v>0</v>
      </c>
      <c r="U681" s="117">
        <v>0</v>
      </c>
      <c r="V681" s="117">
        <v>0</v>
      </c>
      <c r="W681" s="117">
        <v>0</v>
      </c>
      <c r="X681" s="117">
        <v>0</v>
      </c>
      <c r="Y681" s="117">
        <v>0</v>
      </c>
      <c r="Z681" s="117">
        <v>0</v>
      </c>
      <c r="AA681" s="117">
        <v>0</v>
      </c>
      <c r="AB681" s="117">
        <v>0</v>
      </c>
      <c r="AC681" s="117">
        <v>0</v>
      </c>
    </row>
    <row r="682" spans="1:29" s="4" customFormat="1" ht="30" customHeight="1" x14ac:dyDescent="0.3">
      <c r="A682" s="73" t="s">
        <v>795</v>
      </c>
      <c r="B682" s="73" t="s">
        <v>641</v>
      </c>
      <c r="C682" s="66" t="s">
        <v>69</v>
      </c>
      <c r="D682" s="73" t="s">
        <v>74</v>
      </c>
      <c r="E682" s="144">
        <v>88</v>
      </c>
      <c r="F682" s="73" t="s">
        <v>87</v>
      </c>
      <c r="G682" s="66">
        <v>21101</v>
      </c>
      <c r="H682" s="80" t="s">
        <v>500</v>
      </c>
      <c r="I682" s="81" t="s">
        <v>316</v>
      </c>
      <c r="J682" s="80" t="s">
        <v>86</v>
      </c>
      <c r="K682" s="91" t="s">
        <v>32</v>
      </c>
      <c r="L682" s="72" t="s">
        <v>32</v>
      </c>
      <c r="M682" s="146" t="s">
        <v>54</v>
      </c>
      <c r="N682" s="91">
        <v>1</v>
      </c>
      <c r="O682" s="91">
        <v>40.81</v>
      </c>
      <c r="P682" s="117" t="s">
        <v>60</v>
      </c>
      <c r="Q682" s="117">
        <v>41</v>
      </c>
      <c r="R682" s="117">
        <v>0</v>
      </c>
      <c r="S682" s="117">
        <v>41</v>
      </c>
      <c r="T682" s="117">
        <v>0</v>
      </c>
      <c r="U682" s="117">
        <v>0</v>
      </c>
      <c r="V682" s="117">
        <v>0</v>
      </c>
      <c r="W682" s="117">
        <v>0</v>
      </c>
      <c r="X682" s="117">
        <v>0</v>
      </c>
      <c r="Y682" s="117">
        <v>0</v>
      </c>
      <c r="Z682" s="117">
        <v>0</v>
      </c>
      <c r="AA682" s="117">
        <v>0</v>
      </c>
      <c r="AB682" s="117">
        <v>0</v>
      </c>
      <c r="AC682" s="117">
        <v>0</v>
      </c>
    </row>
    <row r="683" spans="1:29" s="4" customFormat="1" ht="30" customHeight="1" x14ac:dyDescent="0.3">
      <c r="A683" s="73" t="s">
        <v>795</v>
      </c>
      <c r="B683" s="73" t="s">
        <v>641</v>
      </c>
      <c r="C683" s="66" t="s">
        <v>69</v>
      </c>
      <c r="D683" s="73" t="s">
        <v>74</v>
      </c>
      <c r="E683" s="144">
        <v>88</v>
      </c>
      <c r="F683" s="73" t="s">
        <v>87</v>
      </c>
      <c r="G683" s="66">
        <v>21101</v>
      </c>
      <c r="H683" s="80" t="s">
        <v>500</v>
      </c>
      <c r="I683" s="81" t="s">
        <v>884</v>
      </c>
      <c r="J683" s="80" t="s">
        <v>885</v>
      </c>
      <c r="K683" s="91" t="s">
        <v>32</v>
      </c>
      <c r="L683" s="72" t="s">
        <v>32</v>
      </c>
      <c r="M683" s="146" t="s">
        <v>56</v>
      </c>
      <c r="N683" s="91">
        <v>1</v>
      </c>
      <c r="O683" s="91">
        <v>99</v>
      </c>
      <c r="P683" s="117" t="s">
        <v>60</v>
      </c>
      <c r="Q683" s="117">
        <v>99</v>
      </c>
      <c r="R683" s="117">
        <v>0</v>
      </c>
      <c r="S683" s="117">
        <v>99</v>
      </c>
      <c r="T683" s="117">
        <v>0</v>
      </c>
      <c r="U683" s="117">
        <v>0</v>
      </c>
      <c r="V683" s="117">
        <v>0</v>
      </c>
      <c r="W683" s="117">
        <v>0</v>
      </c>
      <c r="X683" s="117">
        <v>0</v>
      </c>
      <c r="Y683" s="117">
        <v>0</v>
      </c>
      <c r="Z683" s="117">
        <v>0</v>
      </c>
      <c r="AA683" s="117">
        <v>0</v>
      </c>
      <c r="AB683" s="117">
        <v>0</v>
      </c>
      <c r="AC683" s="117">
        <v>0</v>
      </c>
    </row>
    <row r="684" spans="1:29" s="4" customFormat="1" ht="30" customHeight="1" x14ac:dyDescent="0.3">
      <c r="A684" s="73" t="s">
        <v>795</v>
      </c>
      <c r="B684" s="73" t="s">
        <v>641</v>
      </c>
      <c r="C684" s="66" t="s">
        <v>69</v>
      </c>
      <c r="D684" s="73" t="s">
        <v>74</v>
      </c>
      <c r="E684" s="144">
        <v>88</v>
      </c>
      <c r="F684" s="73" t="s">
        <v>87</v>
      </c>
      <c r="G684" s="66">
        <v>21101</v>
      </c>
      <c r="H684" s="80" t="s">
        <v>500</v>
      </c>
      <c r="I684" s="81" t="s">
        <v>392</v>
      </c>
      <c r="J684" s="80" t="s">
        <v>886</v>
      </c>
      <c r="K684" s="91" t="s">
        <v>32</v>
      </c>
      <c r="L684" s="72" t="s">
        <v>32</v>
      </c>
      <c r="M684" s="146" t="s">
        <v>56</v>
      </c>
      <c r="N684" s="91">
        <v>15</v>
      </c>
      <c r="O684" s="91">
        <v>143</v>
      </c>
      <c r="P684" s="117" t="s">
        <v>60</v>
      </c>
      <c r="Q684" s="117">
        <v>2145</v>
      </c>
      <c r="R684" s="117">
        <v>0</v>
      </c>
      <c r="S684" s="117">
        <v>715</v>
      </c>
      <c r="T684" s="117">
        <v>0</v>
      </c>
      <c r="U684" s="117">
        <v>0</v>
      </c>
      <c r="V684" s="117">
        <v>1430</v>
      </c>
      <c r="W684" s="117">
        <v>0</v>
      </c>
      <c r="X684" s="117">
        <v>0</v>
      </c>
      <c r="Y684" s="117">
        <v>0</v>
      </c>
      <c r="Z684" s="117">
        <v>0</v>
      </c>
      <c r="AA684" s="117">
        <v>0</v>
      </c>
      <c r="AB684" s="117">
        <v>0</v>
      </c>
      <c r="AC684" s="117">
        <v>0</v>
      </c>
    </row>
    <row r="685" spans="1:29" s="4" customFormat="1" ht="30" customHeight="1" x14ac:dyDescent="0.3">
      <c r="A685" s="73" t="s">
        <v>795</v>
      </c>
      <c r="B685" s="73" t="s">
        <v>641</v>
      </c>
      <c r="C685" s="66" t="s">
        <v>69</v>
      </c>
      <c r="D685" s="73" t="s">
        <v>74</v>
      </c>
      <c r="E685" s="144">
        <v>88</v>
      </c>
      <c r="F685" s="73" t="s">
        <v>87</v>
      </c>
      <c r="G685" s="66">
        <v>21101</v>
      </c>
      <c r="H685" s="80" t="s">
        <v>500</v>
      </c>
      <c r="I685" s="81" t="s">
        <v>393</v>
      </c>
      <c r="J685" s="80" t="s">
        <v>887</v>
      </c>
      <c r="K685" s="91" t="s">
        <v>32</v>
      </c>
      <c r="L685" s="72" t="s">
        <v>32</v>
      </c>
      <c r="M685" s="145" t="s">
        <v>56</v>
      </c>
      <c r="N685" s="91">
        <v>5</v>
      </c>
      <c r="O685" s="91">
        <v>143</v>
      </c>
      <c r="P685" s="117" t="s">
        <v>60</v>
      </c>
      <c r="Q685" s="117">
        <v>715</v>
      </c>
      <c r="R685" s="117">
        <v>0</v>
      </c>
      <c r="S685" s="117">
        <v>715</v>
      </c>
      <c r="T685" s="117">
        <v>0</v>
      </c>
      <c r="U685" s="117">
        <v>0</v>
      </c>
      <c r="V685" s="117">
        <v>0</v>
      </c>
      <c r="W685" s="117">
        <v>0</v>
      </c>
      <c r="X685" s="117">
        <v>0</v>
      </c>
      <c r="Y685" s="117">
        <v>0</v>
      </c>
      <c r="Z685" s="117">
        <v>0</v>
      </c>
      <c r="AA685" s="117">
        <v>0</v>
      </c>
      <c r="AB685" s="117">
        <v>0</v>
      </c>
      <c r="AC685" s="117">
        <v>0</v>
      </c>
    </row>
    <row r="686" spans="1:29" s="4" customFormat="1" ht="30" customHeight="1" x14ac:dyDescent="0.3">
      <c r="A686" s="73" t="s">
        <v>795</v>
      </c>
      <c r="B686" s="73" t="s">
        <v>641</v>
      </c>
      <c r="C686" s="66" t="s">
        <v>69</v>
      </c>
      <c r="D686" s="73" t="s">
        <v>74</v>
      </c>
      <c r="E686" s="144">
        <v>88</v>
      </c>
      <c r="F686" s="73" t="s">
        <v>87</v>
      </c>
      <c r="G686" s="66">
        <v>21101</v>
      </c>
      <c r="H686" s="80" t="s">
        <v>500</v>
      </c>
      <c r="I686" s="81" t="s">
        <v>648</v>
      </c>
      <c r="J686" s="80" t="s">
        <v>649</v>
      </c>
      <c r="K686" s="91" t="s">
        <v>32</v>
      </c>
      <c r="L686" s="72" t="s">
        <v>32</v>
      </c>
      <c r="M686" s="145" t="s">
        <v>56</v>
      </c>
      <c r="N686" s="91">
        <v>1</v>
      </c>
      <c r="O686" s="91">
        <v>273.89999999999998</v>
      </c>
      <c r="P686" s="117" t="s">
        <v>60</v>
      </c>
      <c r="Q686" s="117">
        <v>274</v>
      </c>
      <c r="R686" s="117">
        <v>0</v>
      </c>
      <c r="S686" s="117">
        <v>0</v>
      </c>
      <c r="T686" s="117">
        <v>0</v>
      </c>
      <c r="U686" s="117">
        <v>0</v>
      </c>
      <c r="V686" s="117">
        <v>274</v>
      </c>
      <c r="W686" s="117">
        <v>0</v>
      </c>
      <c r="X686" s="117">
        <v>0</v>
      </c>
      <c r="Y686" s="117">
        <v>0</v>
      </c>
      <c r="Z686" s="117">
        <v>0</v>
      </c>
      <c r="AA686" s="117">
        <v>0</v>
      </c>
      <c r="AB686" s="117">
        <v>0</v>
      </c>
      <c r="AC686" s="117">
        <v>0</v>
      </c>
    </row>
    <row r="687" spans="1:29" s="4" customFormat="1" ht="30" customHeight="1" x14ac:dyDescent="0.3">
      <c r="A687" s="73" t="s">
        <v>795</v>
      </c>
      <c r="B687" s="73" t="s">
        <v>641</v>
      </c>
      <c r="C687" s="66" t="s">
        <v>69</v>
      </c>
      <c r="D687" s="73" t="s">
        <v>74</v>
      </c>
      <c r="E687" s="144">
        <v>88</v>
      </c>
      <c r="F687" s="73" t="s">
        <v>87</v>
      </c>
      <c r="G687" s="66">
        <v>21101</v>
      </c>
      <c r="H687" s="80" t="s">
        <v>500</v>
      </c>
      <c r="I687" s="81" t="s">
        <v>888</v>
      </c>
      <c r="J687" s="80" t="s">
        <v>889</v>
      </c>
      <c r="K687" s="91" t="s">
        <v>32</v>
      </c>
      <c r="L687" s="72" t="s">
        <v>32</v>
      </c>
      <c r="M687" s="146" t="s">
        <v>55</v>
      </c>
      <c r="N687" s="91">
        <v>1</v>
      </c>
      <c r="O687" s="91">
        <v>132</v>
      </c>
      <c r="P687" s="117" t="s">
        <v>60</v>
      </c>
      <c r="Q687" s="117">
        <v>132</v>
      </c>
      <c r="R687" s="117">
        <v>0</v>
      </c>
      <c r="S687" s="117">
        <v>0</v>
      </c>
      <c r="T687" s="117">
        <v>0</v>
      </c>
      <c r="U687" s="117">
        <v>0</v>
      </c>
      <c r="V687" s="117">
        <v>132</v>
      </c>
      <c r="W687" s="117">
        <v>0</v>
      </c>
      <c r="X687" s="117">
        <v>0</v>
      </c>
      <c r="Y687" s="117">
        <v>0</v>
      </c>
      <c r="Z687" s="117">
        <v>0</v>
      </c>
      <c r="AA687" s="117">
        <v>0</v>
      </c>
      <c r="AB687" s="117">
        <v>0</v>
      </c>
      <c r="AC687" s="117">
        <v>0</v>
      </c>
    </row>
    <row r="688" spans="1:29" s="4" customFormat="1" ht="30" customHeight="1" x14ac:dyDescent="0.3">
      <c r="A688" s="73" t="s">
        <v>795</v>
      </c>
      <c r="B688" s="73" t="s">
        <v>641</v>
      </c>
      <c r="C688" s="66" t="s">
        <v>69</v>
      </c>
      <c r="D688" s="73" t="s">
        <v>74</v>
      </c>
      <c r="E688" s="144">
        <v>88</v>
      </c>
      <c r="F688" s="73" t="s">
        <v>87</v>
      </c>
      <c r="G688" s="66">
        <v>21101</v>
      </c>
      <c r="H688" s="80" t="s">
        <v>500</v>
      </c>
      <c r="I688" s="81" t="s">
        <v>890</v>
      </c>
      <c r="J688" s="80" t="s">
        <v>891</v>
      </c>
      <c r="K688" s="91" t="s">
        <v>32</v>
      </c>
      <c r="L688" s="72" t="s">
        <v>32</v>
      </c>
      <c r="M688" s="146" t="s">
        <v>55</v>
      </c>
      <c r="N688" s="91">
        <v>1</v>
      </c>
      <c r="O688" s="91">
        <v>94.500999999999991</v>
      </c>
      <c r="P688" s="117" t="s">
        <v>60</v>
      </c>
      <c r="Q688" s="117">
        <v>95</v>
      </c>
      <c r="R688" s="117">
        <v>0</v>
      </c>
      <c r="S688" s="117">
        <v>0</v>
      </c>
      <c r="T688" s="117">
        <v>0</v>
      </c>
      <c r="U688" s="117">
        <v>0</v>
      </c>
      <c r="V688" s="117">
        <v>95</v>
      </c>
      <c r="W688" s="117">
        <v>0</v>
      </c>
      <c r="X688" s="117">
        <v>0</v>
      </c>
      <c r="Y688" s="117">
        <v>0</v>
      </c>
      <c r="Z688" s="117">
        <v>0</v>
      </c>
      <c r="AA688" s="117">
        <v>0</v>
      </c>
      <c r="AB688" s="117">
        <v>0</v>
      </c>
      <c r="AC688" s="117">
        <v>0</v>
      </c>
    </row>
    <row r="689" spans="1:29" s="4" customFormat="1" ht="30" customHeight="1" x14ac:dyDescent="0.3">
      <c r="A689" s="73" t="s">
        <v>795</v>
      </c>
      <c r="B689" s="73" t="s">
        <v>641</v>
      </c>
      <c r="C689" s="66" t="s">
        <v>69</v>
      </c>
      <c r="D689" s="73" t="s">
        <v>74</v>
      </c>
      <c r="E689" s="144">
        <v>88</v>
      </c>
      <c r="F689" s="73" t="s">
        <v>87</v>
      </c>
      <c r="G689" s="66">
        <v>21401</v>
      </c>
      <c r="H689" s="80" t="s">
        <v>533</v>
      </c>
      <c r="I689" s="81" t="s">
        <v>892</v>
      </c>
      <c r="J689" s="80" t="s">
        <v>893</v>
      </c>
      <c r="K689" s="91" t="s">
        <v>32</v>
      </c>
      <c r="L689" s="72" t="s">
        <v>32</v>
      </c>
      <c r="M689" s="146" t="s">
        <v>54</v>
      </c>
      <c r="N689" s="91">
        <v>1</v>
      </c>
      <c r="O689" s="91">
        <v>2121.9</v>
      </c>
      <c r="P689" s="117" t="s">
        <v>60</v>
      </c>
      <c r="Q689" s="117">
        <v>2122</v>
      </c>
      <c r="R689" s="117">
        <v>0</v>
      </c>
      <c r="S689" s="117">
        <v>0</v>
      </c>
      <c r="T689" s="117">
        <v>0</v>
      </c>
      <c r="U689" s="117">
        <v>0</v>
      </c>
      <c r="V689" s="117">
        <v>0</v>
      </c>
      <c r="W689" s="117">
        <v>0</v>
      </c>
      <c r="X689" s="117">
        <v>0</v>
      </c>
      <c r="Y689" s="117">
        <v>2122</v>
      </c>
      <c r="Z689" s="117">
        <v>0</v>
      </c>
      <c r="AA689" s="117">
        <v>0</v>
      </c>
      <c r="AB689" s="117">
        <v>0</v>
      </c>
      <c r="AC689" s="117">
        <v>0</v>
      </c>
    </row>
    <row r="690" spans="1:29" s="4" customFormat="1" ht="30" customHeight="1" x14ac:dyDescent="0.3">
      <c r="A690" s="73" t="s">
        <v>795</v>
      </c>
      <c r="B690" s="73" t="s">
        <v>641</v>
      </c>
      <c r="C690" s="66" t="s">
        <v>69</v>
      </c>
      <c r="D690" s="73" t="s">
        <v>74</v>
      </c>
      <c r="E690" s="144">
        <v>88</v>
      </c>
      <c r="F690" s="73" t="s">
        <v>87</v>
      </c>
      <c r="G690" s="66">
        <v>21601</v>
      </c>
      <c r="H690" s="80" t="s">
        <v>481</v>
      </c>
      <c r="I690" s="81" t="s">
        <v>348</v>
      </c>
      <c r="J690" s="80" t="s">
        <v>780</v>
      </c>
      <c r="K690" s="91" t="s">
        <v>32</v>
      </c>
      <c r="L690" s="72" t="s">
        <v>32</v>
      </c>
      <c r="M690" s="145" t="s">
        <v>79</v>
      </c>
      <c r="N690" s="75">
        <v>12</v>
      </c>
      <c r="O690" s="91">
        <v>22</v>
      </c>
      <c r="P690" s="117" t="s">
        <v>60</v>
      </c>
      <c r="Q690" s="117">
        <v>264</v>
      </c>
      <c r="R690" s="117">
        <v>0</v>
      </c>
      <c r="S690" s="117">
        <v>176</v>
      </c>
      <c r="T690" s="117">
        <v>0</v>
      </c>
      <c r="U690" s="117">
        <v>0</v>
      </c>
      <c r="V690" s="117">
        <v>0</v>
      </c>
      <c r="W690" s="117">
        <v>0</v>
      </c>
      <c r="X690" s="117">
        <v>0</v>
      </c>
      <c r="Y690" s="117">
        <v>88</v>
      </c>
      <c r="Z690" s="117">
        <v>0</v>
      </c>
      <c r="AA690" s="117">
        <v>0</v>
      </c>
      <c r="AB690" s="117">
        <v>0</v>
      </c>
      <c r="AC690" s="117">
        <v>0</v>
      </c>
    </row>
    <row r="691" spans="1:29" s="4" customFormat="1" ht="30" customHeight="1" x14ac:dyDescent="0.3">
      <c r="A691" s="73" t="s">
        <v>795</v>
      </c>
      <c r="B691" s="73" t="s">
        <v>641</v>
      </c>
      <c r="C691" s="66" t="s">
        <v>69</v>
      </c>
      <c r="D691" s="73" t="s">
        <v>74</v>
      </c>
      <c r="E691" s="144">
        <v>88</v>
      </c>
      <c r="F691" s="73" t="s">
        <v>87</v>
      </c>
      <c r="G691" s="66">
        <v>21601</v>
      </c>
      <c r="H691" s="80" t="s">
        <v>481</v>
      </c>
      <c r="I691" s="81" t="s">
        <v>336</v>
      </c>
      <c r="J691" s="80" t="s">
        <v>539</v>
      </c>
      <c r="K691" s="91" t="s">
        <v>32</v>
      </c>
      <c r="L691" s="72" t="s">
        <v>32</v>
      </c>
      <c r="M691" s="145" t="s">
        <v>399</v>
      </c>
      <c r="N691" s="75">
        <v>55</v>
      </c>
      <c r="O691" s="91">
        <v>4.4000000000000004</v>
      </c>
      <c r="P691" s="117" t="s">
        <v>60</v>
      </c>
      <c r="Q691" s="117">
        <v>242</v>
      </c>
      <c r="R691" s="117">
        <v>0</v>
      </c>
      <c r="S691" s="117">
        <v>176</v>
      </c>
      <c r="T691" s="117">
        <v>0</v>
      </c>
      <c r="U691" s="117">
        <v>0</v>
      </c>
      <c r="V691" s="117">
        <v>0</v>
      </c>
      <c r="W691" s="117">
        <v>0</v>
      </c>
      <c r="X691" s="117">
        <v>0</v>
      </c>
      <c r="Y691" s="117">
        <v>66</v>
      </c>
      <c r="Z691" s="117">
        <v>0</v>
      </c>
      <c r="AA691" s="117">
        <v>0</v>
      </c>
      <c r="AB691" s="117">
        <v>0</v>
      </c>
      <c r="AC691" s="117">
        <v>0</v>
      </c>
    </row>
    <row r="692" spans="1:29" s="4" customFormat="1" ht="30" customHeight="1" x14ac:dyDescent="0.3">
      <c r="A692" s="73" t="s">
        <v>795</v>
      </c>
      <c r="B692" s="73" t="s">
        <v>641</v>
      </c>
      <c r="C692" s="66" t="s">
        <v>69</v>
      </c>
      <c r="D692" s="73" t="s">
        <v>74</v>
      </c>
      <c r="E692" s="144">
        <v>88</v>
      </c>
      <c r="F692" s="73" t="s">
        <v>87</v>
      </c>
      <c r="G692" s="66">
        <v>21601</v>
      </c>
      <c r="H692" s="80" t="s">
        <v>481</v>
      </c>
      <c r="I692" s="81" t="s">
        <v>538</v>
      </c>
      <c r="J692" s="80" t="s">
        <v>539</v>
      </c>
      <c r="K692" s="91" t="s">
        <v>32</v>
      </c>
      <c r="L692" s="72" t="s">
        <v>32</v>
      </c>
      <c r="M692" s="145" t="s">
        <v>55</v>
      </c>
      <c r="N692" s="75">
        <v>8</v>
      </c>
      <c r="O692" s="91">
        <v>30.8</v>
      </c>
      <c r="P692" s="117" t="s">
        <v>60</v>
      </c>
      <c r="Q692" s="117">
        <v>246</v>
      </c>
      <c r="R692" s="117">
        <v>0</v>
      </c>
      <c r="S692" s="117">
        <v>62</v>
      </c>
      <c r="T692" s="117">
        <v>0</v>
      </c>
      <c r="U692" s="117">
        <v>0</v>
      </c>
      <c r="V692" s="117">
        <v>61</v>
      </c>
      <c r="W692" s="117">
        <v>0</v>
      </c>
      <c r="X692" s="117">
        <v>0</v>
      </c>
      <c r="Y692" s="117">
        <v>62</v>
      </c>
      <c r="Z692" s="117">
        <v>0</v>
      </c>
      <c r="AA692" s="117">
        <v>0</v>
      </c>
      <c r="AB692" s="117">
        <v>61</v>
      </c>
      <c r="AC692" s="117">
        <v>0</v>
      </c>
    </row>
    <row r="693" spans="1:29" s="4" customFormat="1" ht="30" customHeight="1" x14ac:dyDescent="0.3">
      <c r="A693" s="73" t="s">
        <v>795</v>
      </c>
      <c r="B693" s="73" t="s">
        <v>641</v>
      </c>
      <c r="C693" s="66" t="s">
        <v>69</v>
      </c>
      <c r="D693" s="73" t="s">
        <v>74</v>
      </c>
      <c r="E693" s="144">
        <v>88</v>
      </c>
      <c r="F693" s="73" t="s">
        <v>87</v>
      </c>
      <c r="G693" s="66">
        <v>21601</v>
      </c>
      <c r="H693" s="80" t="s">
        <v>481</v>
      </c>
      <c r="I693" s="81" t="s">
        <v>337</v>
      </c>
      <c r="J693" s="80" t="s">
        <v>542</v>
      </c>
      <c r="K693" s="91" t="s">
        <v>32</v>
      </c>
      <c r="L693" s="72" t="s">
        <v>32</v>
      </c>
      <c r="M693" s="145" t="s">
        <v>55</v>
      </c>
      <c r="N693" s="75">
        <v>10</v>
      </c>
      <c r="O693" s="91">
        <v>341</v>
      </c>
      <c r="P693" s="117" t="s">
        <v>60</v>
      </c>
      <c r="Q693" s="117">
        <v>3410</v>
      </c>
      <c r="R693" s="117">
        <v>0</v>
      </c>
      <c r="S693" s="117">
        <v>1023</v>
      </c>
      <c r="T693" s="117">
        <v>0</v>
      </c>
      <c r="U693" s="117">
        <v>0</v>
      </c>
      <c r="V693" s="117">
        <v>682</v>
      </c>
      <c r="W693" s="117">
        <v>0</v>
      </c>
      <c r="X693" s="117">
        <v>0</v>
      </c>
      <c r="Y693" s="117">
        <v>1023</v>
      </c>
      <c r="Z693" s="117">
        <v>0</v>
      </c>
      <c r="AA693" s="117">
        <v>0</v>
      </c>
      <c r="AB693" s="117">
        <v>682</v>
      </c>
      <c r="AC693" s="117">
        <v>0</v>
      </c>
    </row>
    <row r="694" spans="1:29" s="4" customFormat="1" ht="30" customHeight="1" x14ac:dyDescent="0.3">
      <c r="A694" s="73" t="s">
        <v>795</v>
      </c>
      <c r="B694" s="73" t="s">
        <v>641</v>
      </c>
      <c r="C694" s="66" t="s">
        <v>69</v>
      </c>
      <c r="D694" s="73" t="s">
        <v>74</v>
      </c>
      <c r="E694" s="144">
        <v>88</v>
      </c>
      <c r="F694" s="73" t="s">
        <v>87</v>
      </c>
      <c r="G694" s="66">
        <v>21601</v>
      </c>
      <c r="H694" s="80" t="s">
        <v>481</v>
      </c>
      <c r="I694" s="81" t="s">
        <v>894</v>
      </c>
      <c r="J694" s="80" t="s">
        <v>895</v>
      </c>
      <c r="K694" s="91" t="s">
        <v>32</v>
      </c>
      <c r="L694" s="72" t="s">
        <v>32</v>
      </c>
      <c r="M694" s="145" t="s">
        <v>54</v>
      </c>
      <c r="N694" s="75">
        <v>10</v>
      </c>
      <c r="O694" s="91">
        <v>56.43</v>
      </c>
      <c r="P694" s="117" t="s">
        <v>60</v>
      </c>
      <c r="Q694" s="117">
        <v>564</v>
      </c>
      <c r="R694" s="117">
        <v>0</v>
      </c>
      <c r="S694" s="117">
        <v>0</v>
      </c>
      <c r="T694" s="117">
        <v>0</v>
      </c>
      <c r="U694" s="117">
        <v>0</v>
      </c>
      <c r="V694" s="117">
        <v>282</v>
      </c>
      <c r="W694" s="117">
        <v>0</v>
      </c>
      <c r="X694" s="117">
        <v>0</v>
      </c>
      <c r="Y694" s="117">
        <v>0</v>
      </c>
      <c r="Z694" s="117">
        <v>0</v>
      </c>
      <c r="AA694" s="117">
        <v>0</v>
      </c>
      <c r="AB694" s="117">
        <v>282</v>
      </c>
      <c r="AC694" s="117">
        <v>0</v>
      </c>
    </row>
    <row r="695" spans="1:29" s="4" customFormat="1" ht="30" customHeight="1" x14ac:dyDescent="0.3">
      <c r="A695" s="73" t="s">
        <v>795</v>
      </c>
      <c r="B695" s="73" t="s">
        <v>641</v>
      </c>
      <c r="C695" s="66" t="s">
        <v>69</v>
      </c>
      <c r="D695" s="73" t="s">
        <v>74</v>
      </c>
      <c r="E695" s="144">
        <v>88</v>
      </c>
      <c r="F695" s="73" t="s">
        <v>87</v>
      </c>
      <c r="G695" s="66">
        <v>21601</v>
      </c>
      <c r="H695" s="80" t="s">
        <v>481</v>
      </c>
      <c r="I695" s="81" t="s">
        <v>896</v>
      </c>
      <c r="J695" s="80" t="s">
        <v>897</v>
      </c>
      <c r="K695" s="91" t="s">
        <v>32</v>
      </c>
      <c r="L695" s="72" t="s">
        <v>32</v>
      </c>
      <c r="M695" s="145" t="s">
        <v>54</v>
      </c>
      <c r="N695" s="75">
        <v>24</v>
      </c>
      <c r="O695" s="91">
        <v>38.5</v>
      </c>
      <c r="P695" s="117" t="s">
        <v>60</v>
      </c>
      <c r="Q695" s="117">
        <v>924</v>
      </c>
      <c r="R695" s="117">
        <v>0</v>
      </c>
      <c r="S695" s="117">
        <v>231</v>
      </c>
      <c r="T695" s="117">
        <v>0</v>
      </c>
      <c r="U695" s="117">
        <v>0</v>
      </c>
      <c r="V695" s="117">
        <v>231</v>
      </c>
      <c r="W695" s="117">
        <v>0</v>
      </c>
      <c r="X695" s="117">
        <v>0</v>
      </c>
      <c r="Y695" s="117">
        <v>231</v>
      </c>
      <c r="Z695" s="117">
        <v>0</v>
      </c>
      <c r="AA695" s="117">
        <v>0</v>
      </c>
      <c r="AB695" s="117">
        <v>231</v>
      </c>
      <c r="AC695" s="117">
        <v>0</v>
      </c>
    </row>
    <row r="696" spans="1:29" s="4" customFormat="1" ht="30" customHeight="1" x14ac:dyDescent="0.3">
      <c r="A696" s="73" t="s">
        <v>795</v>
      </c>
      <c r="B696" s="73" t="s">
        <v>641</v>
      </c>
      <c r="C696" s="66" t="s">
        <v>69</v>
      </c>
      <c r="D696" s="73" t="s">
        <v>74</v>
      </c>
      <c r="E696" s="144">
        <v>88</v>
      </c>
      <c r="F696" s="73" t="s">
        <v>87</v>
      </c>
      <c r="G696" s="66">
        <v>21601</v>
      </c>
      <c r="H696" s="80" t="s">
        <v>481</v>
      </c>
      <c r="I696" s="81" t="s">
        <v>898</v>
      </c>
      <c r="J696" s="80" t="s">
        <v>899</v>
      </c>
      <c r="K696" s="91" t="s">
        <v>32</v>
      </c>
      <c r="L696" s="72" t="s">
        <v>32</v>
      </c>
      <c r="M696" s="146" t="s">
        <v>62</v>
      </c>
      <c r="N696" s="75">
        <v>4</v>
      </c>
      <c r="O696" s="91">
        <v>82.533000000000001</v>
      </c>
      <c r="P696" s="117" t="s">
        <v>60</v>
      </c>
      <c r="Q696" s="117">
        <v>330</v>
      </c>
      <c r="R696" s="117">
        <v>0</v>
      </c>
      <c r="S696" s="117">
        <v>82</v>
      </c>
      <c r="T696" s="117">
        <v>0</v>
      </c>
      <c r="U696" s="117">
        <v>0</v>
      </c>
      <c r="V696" s="117">
        <v>82</v>
      </c>
      <c r="W696" s="117">
        <v>0</v>
      </c>
      <c r="X696" s="117">
        <v>0</v>
      </c>
      <c r="Y696" s="117">
        <v>83</v>
      </c>
      <c r="Z696" s="117">
        <v>0</v>
      </c>
      <c r="AA696" s="117">
        <v>0</v>
      </c>
      <c r="AB696" s="117">
        <v>83</v>
      </c>
      <c r="AC696" s="117">
        <v>0</v>
      </c>
    </row>
    <row r="697" spans="1:29" s="4" customFormat="1" ht="30" customHeight="1" x14ac:dyDescent="0.3">
      <c r="A697" s="73" t="s">
        <v>795</v>
      </c>
      <c r="B697" s="73" t="s">
        <v>641</v>
      </c>
      <c r="C697" s="66" t="s">
        <v>69</v>
      </c>
      <c r="D697" s="73" t="s">
        <v>74</v>
      </c>
      <c r="E697" s="144">
        <v>88</v>
      </c>
      <c r="F697" s="73" t="s">
        <v>87</v>
      </c>
      <c r="G697" s="66">
        <v>21601</v>
      </c>
      <c r="H697" s="80" t="s">
        <v>481</v>
      </c>
      <c r="I697" s="81" t="s">
        <v>349</v>
      </c>
      <c r="J697" s="80" t="s">
        <v>78</v>
      </c>
      <c r="K697" s="91" t="s">
        <v>32</v>
      </c>
      <c r="L697" s="72" t="s">
        <v>32</v>
      </c>
      <c r="M697" s="145" t="s">
        <v>54</v>
      </c>
      <c r="N697" s="75">
        <v>20</v>
      </c>
      <c r="O697" s="91">
        <v>93.5</v>
      </c>
      <c r="P697" s="117" t="s">
        <v>60</v>
      </c>
      <c r="Q697" s="117">
        <v>1870</v>
      </c>
      <c r="R697" s="117">
        <v>0</v>
      </c>
      <c r="S697" s="117">
        <v>0</v>
      </c>
      <c r="T697" s="117">
        <v>0</v>
      </c>
      <c r="U697" s="117">
        <v>0</v>
      </c>
      <c r="V697" s="117">
        <v>935</v>
      </c>
      <c r="W697" s="117">
        <v>0</v>
      </c>
      <c r="X697" s="117">
        <v>0</v>
      </c>
      <c r="Y697" s="117">
        <v>0</v>
      </c>
      <c r="Z697" s="117">
        <v>0</v>
      </c>
      <c r="AA697" s="117">
        <v>0</v>
      </c>
      <c r="AB697" s="117">
        <v>935</v>
      </c>
      <c r="AC697" s="117">
        <v>0</v>
      </c>
    </row>
    <row r="698" spans="1:29" s="4" customFormat="1" ht="30" customHeight="1" x14ac:dyDescent="0.3">
      <c r="A698" s="73" t="s">
        <v>795</v>
      </c>
      <c r="B698" s="73" t="s">
        <v>641</v>
      </c>
      <c r="C698" s="66" t="s">
        <v>69</v>
      </c>
      <c r="D698" s="73" t="s">
        <v>74</v>
      </c>
      <c r="E698" s="144">
        <v>88</v>
      </c>
      <c r="F698" s="73" t="s">
        <v>87</v>
      </c>
      <c r="G698" s="66">
        <v>21601</v>
      </c>
      <c r="H698" s="80" t="s">
        <v>481</v>
      </c>
      <c r="I698" s="81" t="s">
        <v>350</v>
      </c>
      <c r="J698" s="80" t="s">
        <v>445</v>
      </c>
      <c r="K698" s="91" t="s">
        <v>32</v>
      </c>
      <c r="L698" s="72" t="s">
        <v>32</v>
      </c>
      <c r="M698" s="146" t="s">
        <v>56</v>
      </c>
      <c r="N698" s="75">
        <v>90</v>
      </c>
      <c r="O698" s="91">
        <v>20.9</v>
      </c>
      <c r="P698" s="117" t="s">
        <v>60</v>
      </c>
      <c r="Q698" s="117">
        <v>1880.9999999999998</v>
      </c>
      <c r="R698" s="117">
        <v>0</v>
      </c>
      <c r="S698" s="117">
        <v>627</v>
      </c>
      <c r="T698" s="117">
        <v>0</v>
      </c>
      <c r="U698" s="117">
        <v>0</v>
      </c>
      <c r="V698" s="117">
        <v>627</v>
      </c>
      <c r="W698" s="117">
        <v>0</v>
      </c>
      <c r="X698" s="117">
        <v>0</v>
      </c>
      <c r="Y698" s="117">
        <v>627</v>
      </c>
      <c r="Z698" s="117">
        <v>0</v>
      </c>
      <c r="AA698" s="117">
        <v>0</v>
      </c>
      <c r="AB698" s="117">
        <v>0</v>
      </c>
      <c r="AC698" s="117">
        <v>0</v>
      </c>
    </row>
    <row r="699" spans="1:29" s="4" customFormat="1" ht="30" customHeight="1" x14ac:dyDescent="0.3">
      <c r="A699" s="73" t="s">
        <v>795</v>
      </c>
      <c r="B699" s="73" t="s">
        <v>641</v>
      </c>
      <c r="C699" s="66" t="s">
        <v>69</v>
      </c>
      <c r="D699" s="73" t="s">
        <v>74</v>
      </c>
      <c r="E699" s="144">
        <v>88</v>
      </c>
      <c r="F699" s="73" t="s">
        <v>87</v>
      </c>
      <c r="G699" s="66">
        <v>21601</v>
      </c>
      <c r="H699" s="80" t="s">
        <v>481</v>
      </c>
      <c r="I699" s="81" t="s">
        <v>616</v>
      </c>
      <c r="J699" s="80" t="s">
        <v>617</v>
      </c>
      <c r="K699" s="91" t="s">
        <v>32</v>
      </c>
      <c r="L699" s="72" t="s">
        <v>32</v>
      </c>
      <c r="M699" s="145" t="s">
        <v>54</v>
      </c>
      <c r="N699" s="75">
        <v>30</v>
      </c>
      <c r="O699" s="91">
        <v>22</v>
      </c>
      <c r="P699" s="117" t="s">
        <v>60</v>
      </c>
      <c r="Q699" s="117">
        <v>660</v>
      </c>
      <c r="R699" s="117">
        <v>0</v>
      </c>
      <c r="S699" s="117">
        <v>330</v>
      </c>
      <c r="T699" s="117">
        <v>0</v>
      </c>
      <c r="U699" s="117">
        <v>0</v>
      </c>
      <c r="V699" s="117">
        <v>0</v>
      </c>
      <c r="W699" s="117">
        <v>0</v>
      </c>
      <c r="X699" s="117">
        <v>0</v>
      </c>
      <c r="Y699" s="117">
        <v>330</v>
      </c>
      <c r="Z699" s="117">
        <v>0</v>
      </c>
      <c r="AA699" s="117">
        <v>0</v>
      </c>
      <c r="AB699" s="117">
        <v>0</v>
      </c>
      <c r="AC699" s="117">
        <v>0</v>
      </c>
    </row>
    <row r="700" spans="1:29" s="4" customFormat="1" ht="30" customHeight="1" x14ac:dyDescent="0.3">
      <c r="A700" s="73" t="s">
        <v>795</v>
      </c>
      <c r="B700" s="73" t="s">
        <v>641</v>
      </c>
      <c r="C700" s="66" t="s">
        <v>69</v>
      </c>
      <c r="D700" s="73" t="s">
        <v>74</v>
      </c>
      <c r="E700" s="144">
        <v>88</v>
      </c>
      <c r="F700" s="73" t="s">
        <v>87</v>
      </c>
      <c r="G700" s="66">
        <v>21601</v>
      </c>
      <c r="H700" s="80" t="s">
        <v>481</v>
      </c>
      <c r="I700" s="81" t="s">
        <v>900</v>
      </c>
      <c r="J700" s="80" t="s">
        <v>901</v>
      </c>
      <c r="K700" s="91" t="s">
        <v>32</v>
      </c>
      <c r="L700" s="72" t="s">
        <v>32</v>
      </c>
      <c r="M700" s="145" t="s">
        <v>54</v>
      </c>
      <c r="N700" s="75">
        <v>1</v>
      </c>
      <c r="O700" s="91">
        <v>636.72400000000005</v>
      </c>
      <c r="P700" s="117" t="s">
        <v>60</v>
      </c>
      <c r="Q700" s="117">
        <v>637</v>
      </c>
      <c r="R700" s="117">
        <v>0</v>
      </c>
      <c r="S700" s="117">
        <v>637</v>
      </c>
      <c r="T700" s="117">
        <v>0</v>
      </c>
      <c r="U700" s="117">
        <v>0</v>
      </c>
      <c r="V700" s="117">
        <v>0</v>
      </c>
      <c r="W700" s="117">
        <v>0</v>
      </c>
      <c r="X700" s="117">
        <v>0</v>
      </c>
      <c r="Y700" s="117">
        <v>0</v>
      </c>
      <c r="Z700" s="117">
        <v>0</v>
      </c>
      <c r="AA700" s="117">
        <v>0</v>
      </c>
      <c r="AB700" s="117">
        <v>0</v>
      </c>
      <c r="AC700" s="117">
        <v>0</v>
      </c>
    </row>
    <row r="701" spans="1:29" s="4" customFormat="1" ht="30" customHeight="1" x14ac:dyDescent="0.3">
      <c r="A701" s="73" t="s">
        <v>795</v>
      </c>
      <c r="B701" s="73" t="s">
        <v>641</v>
      </c>
      <c r="C701" s="66" t="s">
        <v>69</v>
      </c>
      <c r="D701" s="73" t="s">
        <v>74</v>
      </c>
      <c r="E701" s="144">
        <v>88</v>
      </c>
      <c r="F701" s="73" t="s">
        <v>87</v>
      </c>
      <c r="G701" s="66">
        <v>21601</v>
      </c>
      <c r="H701" s="80" t="s">
        <v>481</v>
      </c>
      <c r="I701" s="81" t="s">
        <v>902</v>
      </c>
      <c r="J701" s="80" t="s">
        <v>903</v>
      </c>
      <c r="K701" s="91" t="s">
        <v>32</v>
      </c>
      <c r="L701" s="72" t="s">
        <v>32</v>
      </c>
      <c r="M701" s="145" t="s">
        <v>54</v>
      </c>
      <c r="N701" s="75">
        <v>1</v>
      </c>
      <c r="O701" s="91">
        <v>509.12399999999997</v>
      </c>
      <c r="P701" s="117" t="s">
        <v>60</v>
      </c>
      <c r="Q701" s="117">
        <v>509</v>
      </c>
      <c r="R701" s="117">
        <v>0</v>
      </c>
      <c r="S701" s="117">
        <v>509</v>
      </c>
      <c r="T701" s="117">
        <v>0</v>
      </c>
      <c r="U701" s="117">
        <v>0</v>
      </c>
      <c r="V701" s="117">
        <v>0</v>
      </c>
      <c r="W701" s="117">
        <v>0</v>
      </c>
      <c r="X701" s="117">
        <v>0</v>
      </c>
      <c r="Y701" s="117">
        <v>0</v>
      </c>
      <c r="Z701" s="117">
        <v>0</v>
      </c>
      <c r="AA701" s="117">
        <v>0</v>
      </c>
      <c r="AB701" s="117">
        <v>0</v>
      </c>
      <c r="AC701" s="117">
        <v>0</v>
      </c>
    </row>
    <row r="702" spans="1:29" s="4" customFormat="1" ht="30" customHeight="1" x14ac:dyDescent="0.3">
      <c r="A702" s="73" t="s">
        <v>795</v>
      </c>
      <c r="B702" s="73" t="s">
        <v>641</v>
      </c>
      <c r="C702" s="66" t="s">
        <v>69</v>
      </c>
      <c r="D702" s="73" t="s">
        <v>74</v>
      </c>
      <c r="E702" s="144">
        <v>88</v>
      </c>
      <c r="F702" s="73" t="s">
        <v>87</v>
      </c>
      <c r="G702" s="66">
        <v>21601</v>
      </c>
      <c r="H702" s="80" t="s">
        <v>481</v>
      </c>
      <c r="I702" s="81" t="s">
        <v>904</v>
      </c>
      <c r="J702" s="80" t="s">
        <v>905</v>
      </c>
      <c r="K702" s="91" t="s">
        <v>32</v>
      </c>
      <c r="L702" s="72" t="s">
        <v>32</v>
      </c>
      <c r="M702" s="145" t="s">
        <v>54</v>
      </c>
      <c r="N702" s="75">
        <v>15</v>
      </c>
      <c r="O702" s="91">
        <v>30.67</v>
      </c>
      <c r="P702" s="117" t="s">
        <v>60</v>
      </c>
      <c r="Q702" s="117">
        <v>460</v>
      </c>
      <c r="R702" s="117">
        <v>0</v>
      </c>
      <c r="S702" s="117">
        <v>460</v>
      </c>
      <c r="T702" s="117">
        <v>0</v>
      </c>
      <c r="U702" s="117">
        <v>0</v>
      </c>
      <c r="V702" s="117">
        <v>0</v>
      </c>
      <c r="W702" s="117">
        <v>0</v>
      </c>
      <c r="X702" s="117">
        <v>0</v>
      </c>
      <c r="Y702" s="117">
        <v>0</v>
      </c>
      <c r="Z702" s="117">
        <v>0</v>
      </c>
      <c r="AA702" s="117">
        <v>0</v>
      </c>
      <c r="AB702" s="117">
        <v>0</v>
      </c>
      <c r="AC702" s="117">
        <v>0</v>
      </c>
    </row>
    <row r="703" spans="1:29" s="4" customFormat="1" ht="30" customHeight="1" x14ac:dyDescent="0.3">
      <c r="A703" s="73" t="s">
        <v>795</v>
      </c>
      <c r="B703" s="73" t="s">
        <v>641</v>
      </c>
      <c r="C703" s="66" t="s">
        <v>69</v>
      </c>
      <c r="D703" s="73" t="s">
        <v>74</v>
      </c>
      <c r="E703" s="144">
        <v>88</v>
      </c>
      <c r="F703" s="73" t="s">
        <v>87</v>
      </c>
      <c r="G703" s="66">
        <v>21601</v>
      </c>
      <c r="H703" s="80" t="s">
        <v>481</v>
      </c>
      <c r="I703" s="81" t="s">
        <v>482</v>
      </c>
      <c r="J703" s="80" t="s">
        <v>483</v>
      </c>
      <c r="K703" s="91" t="s">
        <v>32</v>
      </c>
      <c r="L703" s="72" t="s">
        <v>32</v>
      </c>
      <c r="M703" s="146" t="s">
        <v>79</v>
      </c>
      <c r="N703" s="75">
        <v>13</v>
      </c>
      <c r="O703" s="91">
        <v>110</v>
      </c>
      <c r="P703" s="117" t="s">
        <v>60</v>
      </c>
      <c r="Q703" s="117">
        <v>1430</v>
      </c>
      <c r="R703" s="117">
        <v>0</v>
      </c>
      <c r="S703" s="117">
        <v>880</v>
      </c>
      <c r="T703" s="117">
        <v>0</v>
      </c>
      <c r="U703" s="117">
        <v>0</v>
      </c>
      <c r="V703" s="117">
        <v>0</v>
      </c>
      <c r="W703" s="117">
        <v>0</v>
      </c>
      <c r="X703" s="117">
        <v>0</v>
      </c>
      <c r="Y703" s="117">
        <v>550</v>
      </c>
      <c r="Z703" s="117">
        <v>0</v>
      </c>
      <c r="AA703" s="117">
        <v>0</v>
      </c>
      <c r="AB703" s="117">
        <v>0</v>
      </c>
      <c r="AC703" s="117">
        <v>0</v>
      </c>
    </row>
    <row r="704" spans="1:29" s="4" customFormat="1" ht="30" customHeight="1" x14ac:dyDescent="0.3">
      <c r="A704" s="73" t="s">
        <v>795</v>
      </c>
      <c r="B704" s="73" t="s">
        <v>641</v>
      </c>
      <c r="C704" s="66" t="s">
        <v>69</v>
      </c>
      <c r="D704" s="73" t="s">
        <v>74</v>
      </c>
      <c r="E704" s="144">
        <v>88</v>
      </c>
      <c r="F704" s="73" t="s">
        <v>87</v>
      </c>
      <c r="G704" s="80">
        <v>22104</v>
      </c>
      <c r="H704" s="80" t="s">
        <v>543</v>
      </c>
      <c r="I704" s="80" t="s">
        <v>906</v>
      </c>
      <c r="J704" s="80" t="s">
        <v>907</v>
      </c>
      <c r="K704" s="91" t="s">
        <v>32</v>
      </c>
      <c r="L704" s="72" t="s">
        <v>32</v>
      </c>
      <c r="M704" s="147" t="s">
        <v>56</v>
      </c>
      <c r="N704" s="75">
        <v>20</v>
      </c>
      <c r="O704" s="91">
        <v>143</v>
      </c>
      <c r="P704" s="117" t="s">
        <v>60</v>
      </c>
      <c r="Q704" s="117">
        <v>2860</v>
      </c>
      <c r="R704" s="117">
        <v>0</v>
      </c>
      <c r="S704" s="117">
        <v>715</v>
      </c>
      <c r="T704" s="117">
        <v>0</v>
      </c>
      <c r="U704" s="117">
        <v>0</v>
      </c>
      <c r="V704" s="117">
        <v>715</v>
      </c>
      <c r="W704" s="117">
        <v>0</v>
      </c>
      <c r="X704" s="117">
        <v>0</v>
      </c>
      <c r="Y704" s="117">
        <v>715</v>
      </c>
      <c r="Z704" s="117">
        <v>0</v>
      </c>
      <c r="AA704" s="117">
        <v>0</v>
      </c>
      <c r="AB704" s="117">
        <v>715</v>
      </c>
      <c r="AC704" s="117">
        <v>0</v>
      </c>
    </row>
    <row r="705" spans="1:29" s="4" customFormat="1" ht="30" customHeight="1" x14ac:dyDescent="0.3">
      <c r="A705" s="73" t="s">
        <v>795</v>
      </c>
      <c r="B705" s="73" t="s">
        <v>641</v>
      </c>
      <c r="C705" s="66" t="s">
        <v>69</v>
      </c>
      <c r="D705" s="73" t="s">
        <v>74</v>
      </c>
      <c r="E705" s="144">
        <v>88</v>
      </c>
      <c r="F705" s="73" t="s">
        <v>87</v>
      </c>
      <c r="G705" s="80">
        <v>22104</v>
      </c>
      <c r="H705" s="80" t="s">
        <v>543</v>
      </c>
      <c r="I705" s="80" t="s">
        <v>691</v>
      </c>
      <c r="J705" s="80" t="s">
        <v>692</v>
      </c>
      <c r="K705" s="91" t="s">
        <v>32</v>
      </c>
      <c r="L705" s="72" t="s">
        <v>32</v>
      </c>
      <c r="M705" s="147" t="s">
        <v>908</v>
      </c>
      <c r="N705" s="75">
        <v>206</v>
      </c>
      <c r="O705" s="91">
        <v>211.2</v>
      </c>
      <c r="P705" s="117" t="s">
        <v>60</v>
      </c>
      <c r="Q705" s="117">
        <v>43507</v>
      </c>
      <c r="R705" s="117">
        <v>0</v>
      </c>
      <c r="S705" s="117">
        <v>10559</v>
      </c>
      <c r="T705" s="117">
        <v>0</v>
      </c>
      <c r="U705" s="117">
        <v>0</v>
      </c>
      <c r="V705" s="117">
        <v>11616</v>
      </c>
      <c r="W705" s="117">
        <v>0</v>
      </c>
      <c r="X705" s="117">
        <v>0</v>
      </c>
      <c r="Y705" s="117">
        <v>10983</v>
      </c>
      <c r="Z705" s="117">
        <v>0</v>
      </c>
      <c r="AA705" s="117">
        <v>0</v>
      </c>
      <c r="AB705" s="117">
        <v>10349</v>
      </c>
      <c r="AC705" s="117">
        <v>0</v>
      </c>
    </row>
    <row r="706" spans="1:29" s="4" customFormat="1" ht="30" customHeight="1" x14ac:dyDescent="0.3">
      <c r="A706" s="73" t="s">
        <v>795</v>
      </c>
      <c r="B706" s="73" t="s">
        <v>641</v>
      </c>
      <c r="C706" s="66" t="s">
        <v>69</v>
      </c>
      <c r="D706" s="73" t="s">
        <v>74</v>
      </c>
      <c r="E706" s="144">
        <v>88</v>
      </c>
      <c r="F706" s="73" t="s">
        <v>87</v>
      </c>
      <c r="G706" s="80">
        <v>22104</v>
      </c>
      <c r="H706" s="80" t="s">
        <v>543</v>
      </c>
      <c r="I706" s="80" t="s">
        <v>909</v>
      </c>
      <c r="J706" s="80" t="s">
        <v>696</v>
      </c>
      <c r="K706" s="91" t="s">
        <v>32</v>
      </c>
      <c r="L706" s="72" t="s">
        <v>32</v>
      </c>
      <c r="M706" s="145" t="s">
        <v>65</v>
      </c>
      <c r="N706" s="75">
        <v>6</v>
      </c>
      <c r="O706" s="91">
        <v>156.19999999999999</v>
      </c>
      <c r="P706" s="117" t="s">
        <v>60</v>
      </c>
      <c r="Q706" s="117">
        <v>937</v>
      </c>
      <c r="R706" s="117">
        <v>0</v>
      </c>
      <c r="S706" s="117">
        <v>313</v>
      </c>
      <c r="T706" s="117">
        <v>0</v>
      </c>
      <c r="U706" s="117">
        <v>0</v>
      </c>
      <c r="V706" s="117">
        <v>312</v>
      </c>
      <c r="W706" s="117">
        <v>0</v>
      </c>
      <c r="X706" s="117">
        <v>0</v>
      </c>
      <c r="Y706" s="117">
        <v>312</v>
      </c>
      <c r="Z706" s="117">
        <v>0</v>
      </c>
      <c r="AA706" s="117">
        <v>0</v>
      </c>
      <c r="AB706" s="117">
        <v>0</v>
      </c>
      <c r="AC706" s="117">
        <v>0</v>
      </c>
    </row>
    <row r="707" spans="1:29" s="4" customFormat="1" ht="30" customHeight="1" x14ac:dyDescent="0.3">
      <c r="A707" s="73" t="s">
        <v>795</v>
      </c>
      <c r="B707" s="73" t="s">
        <v>641</v>
      </c>
      <c r="C707" s="66" t="s">
        <v>69</v>
      </c>
      <c r="D707" s="73" t="s">
        <v>74</v>
      </c>
      <c r="E707" s="144">
        <v>88</v>
      </c>
      <c r="F707" s="73" t="s">
        <v>87</v>
      </c>
      <c r="G707" s="80">
        <v>22104</v>
      </c>
      <c r="H707" s="80" t="s">
        <v>543</v>
      </c>
      <c r="I707" s="80" t="s">
        <v>910</v>
      </c>
      <c r="J707" s="80" t="s">
        <v>911</v>
      </c>
      <c r="K707" s="91" t="s">
        <v>32</v>
      </c>
      <c r="L707" s="72" t="s">
        <v>32</v>
      </c>
      <c r="M707" s="145" t="s">
        <v>65</v>
      </c>
      <c r="N707" s="75">
        <v>8</v>
      </c>
      <c r="O707" s="91">
        <v>447.7</v>
      </c>
      <c r="P707" s="117" t="s">
        <v>60</v>
      </c>
      <c r="Q707" s="117">
        <v>3582</v>
      </c>
      <c r="R707" s="117">
        <v>0</v>
      </c>
      <c r="S707" s="117">
        <v>2239</v>
      </c>
      <c r="T707" s="117">
        <v>0</v>
      </c>
      <c r="U707" s="117">
        <v>0</v>
      </c>
      <c r="V707" s="117">
        <v>0</v>
      </c>
      <c r="W707" s="117">
        <v>0</v>
      </c>
      <c r="X707" s="117">
        <v>0</v>
      </c>
      <c r="Y707" s="117">
        <v>1343</v>
      </c>
      <c r="Z707" s="117">
        <v>0</v>
      </c>
      <c r="AA707" s="117">
        <v>0</v>
      </c>
      <c r="AB707" s="117">
        <v>0</v>
      </c>
      <c r="AC707" s="117">
        <v>0</v>
      </c>
    </row>
    <row r="708" spans="1:29" s="4" customFormat="1" ht="30" customHeight="1" x14ac:dyDescent="0.3">
      <c r="A708" s="73" t="s">
        <v>795</v>
      </c>
      <c r="B708" s="73" t="s">
        <v>641</v>
      </c>
      <c r="C708" s="66" t="s">
        <v>69</v>
      </c>
      <c r="D708" s="73" t="s">
        <v>74</v>
      </c>
      <c r="E708" s="144">
        <v>88</v>
      </c>
      <c r="F708" s="73" t="s">
        <v>87</v>
      </c>
      <c r="G708" s="80">
        <v>22104</v>
      </c>
      <c r="H708" s="80" t="s">
        <v>543</v>
      </c>
      <c r="I708" s="80" t="s">
        <v>402</v>
      </c>
      <c r="J708" s="80" t="s">
        <v>912</v>
      </c>
      <c r="K708" s="91" t="s">
        <v>32</v>
      </c>
      <c r="L708" s="72" t="s">
        <v>32</v>
      </c>
      <c r="M708" s="145" t="s">
        <v>913</v>
      </c>
      <c r="N708" s="75">
        <v>20</v>
      </c>
      <c r="O708" s="91">
        <v>33</v>
      </c>
      <c r="P708" s="117" t="s">
        <v>60</v>
      </c>
      <c r="Q708" s="117">
        <v>660</v>
      </c>
      <c r="R708" s="117">
        <v>0</v>
      </c>
      <c r="S708" s="117">
        <v>165</v>
      </c>
      <c r="T708" s="117">
        <v>0</v>
      </c>
      <c r="U708" s="117">
        <v>0</v>
      </c>
      <c r="V708" s="117">
        <v>165</v>
      </c>
      <c r="W708" s="117">
        <v>0</v>
      </c>
      <c r="X708" s="117">
        <v>0</v>
      </c>
      <c r="Y708" s="117">
        <v>165</v>
      </c>
      <c r="Z708" s="117">
        <v>0</v>
      </c>
      <c r="AA708" s="117">
        <v>0</v>
      </c>
      <c r="AB708" s="117">
        <v>165</v>
      </c>
      <c r="AC708" s="117">
        <v>0</v>
      </c>
    </row>
    <row r="709" spans="1:29" s="4" customFormat="1" ht="30" customHeight="1" x14ac:dyDescent="0.3">
      <c r="A709" s="73" t="s">
        <v>795</v>
      </c>
      <c r="B709" s="73" t="s">
        <v>641</v>
      </c>
      <c r="C709" s="66" t="s">
        <v>69</v>
      </c>
      <c r="D709" s="73" t="s">
        <v>74</v>
      </c>
      <c r="E709" s="144">
        <v>88</v>
      </c>
      <c r="F709" s="73" t="s">
        <v>87</v>
      </c>
      <c r="G709" s="80">
        <v>22104</v>
      </c>
      <c r="H709" s="80" t="s">
        <v>543</v>
      </c>
      <c r="I709" s="80" t="s">
        <v>914</v>
      </c>
      <c r="J709" s="80" t="s">
        <v>915</v>
      </c>
      <c r="K709" s="91" t="s">
        <v>32</v>
      </c>
      <c r="L709" s="72" t="s">
        <v>32</v>
      </c>
      <c r="M709" s="145" t="s">
        <v>57</v>
      </c>
      <c r="N709" s="75">
        <v>8</v>
      </c>
      <c r="O709" s="91">
        <v>407</v>
      </c>
      <c r="P709" s="117" t="s">
        <v>60</v>
      </c>
      <c r="Q709" s="117">
        <v>3256</v>
      </c>
      <c r="R709" s="117">
        <v>0</v>
      </c>
      <c r="S709" s="117">
        <v>0</v>
      </c>
      <c r="T709" s="117">
        <v>0</v>
      </c>
      <c r="U709" s="117">
        <v>0</v>
      </c>
      <c r="V709" s="117">
        <v>2442</v>
      </c>
      <c r="W709" s="117">
        <v>0</v>
      </c>
      <c r="X709" s="117">
        <v>0</v>
      </c>
      <c r="Y709" s="117">
        <v>814</v>
      </c>
      <c r="Z709" s="117">
        <v>0</v>
      </c>
      <c r="AA709" s="117">
        <v>0</v>
      </c>
      <c r="AB709" s="117">
        <v>0</v>
      </c>
      <c r="AC709" s="117">
        <v>0</v>
      </c>
    </row>
    <row r="710" spans="1:29" s="4" customFormat="1" ht="30" customHeight="1" x14ac:dyDescent="0.3">
      <c r="A710" s="73" t="s">
        <v>795</v>
      </c>
      <c r="B710" s="73" t="s">
        <v>641</v>
      </c>
      <c r="C710" s="66" t="s">
        <v>69</v>
      </c>
      <c r="D710" s="73" t="s">
        <v>74</v>
      </c>
      <c r="E710" s="144">
        <v>88</v>
      </c>
      <c r="F710" s="73" t="s">
        <v>87</v>
      </c>
      <c r="G710" s="80">
        <v>22104</v>
      </c>
      <c r="H710" s="80" t="s">
        <v>543</v>
      </c>
      <c r="I710" s="80" t="s">
        <v>916</v>
      </c>
      <c r="J710" s="80" t="s">
        <v>917</v>
      </c>
      <c r="K710" s="91" t="s">
        <v>32</v>
      </c>
      <c r="L710" s="72" t="s">
        <v>32</v>
      </c>
      <c r="M710" s="145" t="s">
        <v>57</v>
      </c>
      <c r="N710" s="75">
        <v>8</v>
      </c>
      <c r="O710" s="91">
        <v>218.9</v>
      </c>
      <c r="P710" s="117" t="s">
        <v>60</v>
      </c>
      <c r="Q710" s="117">
        <v>1751</v>
      </c>
      <c r="R710" s="117">
        <v>0</v>
      </c>
      <c r="S710" s="117">
        <v>1313</v>
      </c>
      <c r="T710" s="117">
        <v>0</v>
      </c>
      <c r="U710" s="117">
        <v>0</v>
      </c>
      <c r="V710" s="117">
        <v>438</v>
      </c>
      <c r="W710" s="117">
        <v>0</v>
      </c>
      <c r="X710" s="117">
        <v>0</v>
      </c>
      <c r="Y710" s="117">
        <v>0</v>
      </c>
      <c r="Z710" s="117">
        <v>0</v>
      </c>
      <c r="AA710" s="117">
        <v>0</v>
      </c>
      <c r="AB710" s="117">
        <v>0</v>
      </c>
      <c r="AC710" s="117">
        <v>0</v>
      </c>
    </row>
    <row r="711" spans="1:29" s="4" customFormat="1" ht="30" customHeight="1" x14ac:dyDescent="0.3">
      <c r="A711" s="73" t="s">
        <v>795</v>
      </c>
      <c r="B711" s="73" t="s">
        <v>641</v>
      </c>
      <c r="C711" s="66" t="s">
        <v>69</v>
      </c>
      <c r="D711" s="73" t="s">
        <v>74</v>
      </c>
      <c r="E711" s="144">
        <v>88</v>
      </c>
      <c r="F711" s="73" t="s">
        <v>87</v>
      </c>
      <c r="G711" s="80">
        <v>22104</v>
      </c>
      <c r="H711" s="80" t="s">
        <v>543</v>
      </c>
      <c r="I711" s="80" t="s">
        <v>918</v>
      </c>
      <c r="J711" s="80" t="s">
        <v>919</v>
      </c>
      <c r="K711" s="91" t="s">
        <v>32</v>
      </c>
      <c r="L711" s="72" t="s">
        <v>32</v>
      </c>
      <c r="M711" s="145" t="s">
        <v>57</v>
      </c>
      <c r="N711" s="75">
        <v>8</v>
      </c>
      <c r="O711" s="91">
        <v>163.9</v>
      </c>
      <c r="P711" s="117" t="s">
        <v>60</v>
      </c>
      <c r="Q711" s="117">
        <v>1311</v>
      </c>
      <c r="R711" s="117">
        <v>0</v>
      </c>
      <c r="S711" s="117">
        <v>0</v>
      </c>
      <c r="T711" s="117">
        <v>0</v>
      </c>
      <c r="U711" s="117">
        <v>0</v>
      </c>
      <c r="V711" s="117">
        <v>0</v>
      </c>
      <c r="W711" s="117">
        <v>0</v>
      </c>
      <c r="X711" s="117">
        <v>0</v>
      </c>
      <c r="Y711" s="117">
        <v>1311</v>
      </c>
      <c r="Z711" s="117">
        <v>0</v>
      </c>
      <c r="AA711" s="117">
        <v>0</v>
      </c>
      <c r="AB711" s="117">
        <v>0</v>
      </c>
      <c r="AC711" s="117">
        <v>0</v>
      </c>
    </row>
    <row r="712" spans="1:29" s="4" customFormat="1" ht="30" customHeight="1" x14ac:dyDescent="0.3">
      <c r="A712" s="73" t="s">
        <v>795</v>
      </c>
      <c r="B712" s="73" t="s">
        <v>641</v>
      </c>
      <c r="C712" s="66" t="s">
        <v>69</v>
      </c>
      <c r="D712" s="73" t="s">
        <v>74</v>
      </c>
      <c r="E712" s="144">
        <v>88</v>
      </c>
      <c r="F712" s="73" t="s">
        <v>87</v>
      </c>
      <c r="G712" s="80">
        <v>22104</v>
      </c>
      <c r="H712" s="80" t="s">
        <v>543</v>
      </c>
      <c r="I712" s="80" t="s">
        <v>406</v>
      </c>
      <c r="J712" s="80" t="s">
        <v>699</v>
      </c>
      <c r="K712" s="91" t="s">
        <v>32</v>
      </c>
      <c r="L712" s="72" t="s">
        <v>32</v>
      </c>
      <c r="M712" s="145" t="s">
        <v>55</v>
      </c>
      <c r="N712" s="75">
        <v>2</v>
      </c>
      <c r="O712" s="91">
        <v>251.9</v>
      </c>
      <c r="P712" s="117" t="s">
        <v>60</v>
      </c>
      <c r="Q712" s="117">
        <v>504</v>
      </c>
      <c r="R712" s="117">
        <v>0</v>
      </c>
      <c r="S712" s="117">
        <v>252</v>
      </c>
      <c r="T712" s="117">
        <v>0</v>
      </c>
      <c r="U712" s="117">
        <v>0</v>
      </c>
      <c r="V712" s="117">
        <v>0</v>
      </c>
      <c r="W712" s="117">
        <v>0</v>
      </c>
      <c r="X712" s="117">
        <v>0</v>
      </c>
      <c r="Y712" s="117">
        <v>252</v>
      </c>
      <c r="Z712" s="117">
        <v>0</v>
      </c>
      <c r="AA712" s="117">
        <v>0</v>
      </c>
      <c r="AB712" s="117">
        <v>0</v>
      </c>
      <c r="AC712" s="117">
        <v>0</v>
      </c>
    </row>
    <row r="713" spans="1:29" s="4" customFormat="1" ht="30" customHeight="1" x14ac:dyDescent="0.3">
      <c r="A713" s="148" t="s">
        <v>795</v>
      </c>
      <c r="B713" s="148" t="s">
        <v>641</v>
      </c>
      <c r="C713" s="112" t="s">
        <v>69</v>
      </c>
      <c r="D713" s="67" t="s">
        <v>74</v>
      </c>
      <c r="E713" s="113">
        <v>88</v>
      </c>
      <c r="F713" s="73" t="s">
        <v>87</v>
      </c>
      <c r="G713" s="125">
        <v>24601</v>
      </c>
      <c r="H713" s="118" t="s">
        <v>589</v>
      </c>
      <c r="I713" s="121" t="s">
        <v>590</v>
      </c>
      <c r="J713" s="121" t="s">
        <v>591</v>
      </c>
      <c r="K713" s="91" t="s">
        <v>32</v>
      </c>
      <c r="L713" s="72" t="s">
        <v>32</v>
      </c>
      <c r="M713" s="125" t="s">
        <v>54</v>
      </c>
      <c r="N713" s="91">
        <v>10</v>
      </c>
      <c r="O713" s="91">
        <v>200.2</v>
      </c>
      <c r="P713" s="117" t="s">
        <v>60</v>
      </c>
      <c r="Q713" s="117">
        <v>2002</v>
      </c>
      <c r="R713" s="117">
        <v>0</v>
      </c>
      <c r="S713" s="117">
        <v>1001</v>
      </c>
      <c r="T713" s="117">
        <v>0</v>
      </c>
      <c r="U713" s="117">
        <v>0</v>
      </c>
      <c r="V713" s="117">
        <v>0</v>
      </c>
      <c r="W713" s="117">
        <v>0</v>
      </c>
      <c r="X713" s="117">
        <v>0</v>
      </c>
      <c r="Y713" s="117">
        <v>1001</v>
      </c>
      <c r="Z713" s="117">
        <v>0</v>
      </c>
      <c r="AA713" s="117">
        <v>0</v>
      </c>
      <c r="AB713" s="117">
        <v>0</v>
      </c>
      <c r="AC713" s="117">
        <v>0</v>
      </c>
    </row>
    <row r="714" spans="1:29" s="4" customFormat="1" ht="30" customHeight="1" x14ac:dyDescent="0.3">
      <c r="A714" s="148" t="s">
        <v>795</v>
      </c>
      <c r="B714" s="148" t="s">
        <v>641</v>
      </c>
      <c r="C714" s="112" t="s">
        <v>69</v>
      </c>
      <c r="D714" s="67" t="s">
        <v>74</v>
      </c>
      <c r="E714" s="113">
        <v>88</v>
      </c>
      <c r="F714" s="73" t="s">
        <v>87</v>
      </c>
      <c r="G714" s="125">
        <v>24601</v>
      </c>
      <c r="H714" s="118" t="s">
        <v>589</v>
      </c>
      <c r="I714" s="121" t="s">
        <v>920</v>
      </c>
      <c r="J714" s="121" t="s">
        <v>921</v>
      </c>
      <c r="K714" s="91" t="s">
        <v>32</v>
      </c>
      <c r="L714" s="72" t="s">
        <v>32</v>
      </c>
      <c r="M714" s="125" t="s">
        <v>54</v>
      </c>
      <c r="N714" s="91">
        <v>2</v>
      </c>
      <c r="O714" s="91">
        <v>144.1</v>
      </c>
      <c r="P714" s="117" t="s">
        <v>60</v>
      </c>
      <c r="Q714" s="117">
        <v>288</v>
      </c>
      <c r="R714" s="117">
        <v>0</v>
      </c>
      <c r="S714" s="117">
        <v>0</v>
      </c>
      <c r="T714" s="117">
        <v>0</v>
      </c>
      <c r="U714" s="117">
        <v>0</v>
      </c>
      <c r="V714" s="117">
        <v>0</v>
      </c>
      <c r="W714" s="117">
        <v>0</v>
      </c>
      <c r="X714" s="117">
        <v>0</v>
      </c>
      <c r="Y714" s="117">
        <v>288</v>
      </c>
      <c r="Z714" s="117">
        <v>0</v>
      </c>
      <c r="AA714" s="117">
        <v>0</v>
      </c>
      <c r="AB714" s="117">
        <v>0</v>
      </c>
      <c r="AC714" s="117">
        <v>0</v>
      </c>
    </row>
    <row r="715" spans="1:29" s="4" customFormat="1" ht="30" customHeight="1" x14ac:dyDescent="0.3">
      <c r="A715" s="148" t="s">
        <v>795</v>
      </c>
      <c r="B715" s="148" t="s">
        <v>641</v>
      </c>
      <c r="C715" s="112" t="s">
        <v>69</v>
      </c>
      <c r="D715" s="67" t="s">
        <v>74</v>
      </c>
      <c r="E715" s="113">
        <v>88</v>
      </c>
      <c r="F715" s="73" t="s">
        <v>87</v>
      </c>
      <c r="G715" s="125">
        <v>24601</v>
      </c>
      <c r="H715" s="118" t="s">
        <v>589</v>
      </c>
      <c r="I715" s="121" t="s">
        <v>922</v>
      </c>
      <c r="J715" s="121" t="s">
        <v>923</v>
      </c>
      <c r="K715" s="91" t="s">
        <v>32</v>
      </c>
      <c r="L715" s="72" t="s">
        <v>32</v>
      </c>
      <c r="M715" s="125" t="s">
        <v>54</v>
      </c>
      <c r="N715" s="91">
        <v>1</v>
      </c>
      <c r="O715" s="91">
        <v>328.9</v>
      </c>
      <c r="P715" s="117" t="s">
        <v>60</v>
      </c>
      <c r="Q715" s="117">
        <v>329</v>
      </c>
      <c r="R715" s="117">
        <v>0</v>
      </c>
      <c r="S715" s="117">
        <v>0</v>
      </c>
      <c r="T715" s="117">
        <v>0</v>
      </c>
      <c r="U715" s="117">
        <v>0</v>
      </c>
      <c r="V715" s="117">
        <v>0</v>
      </c>
      <c r="W715" s="117">
        <v>0</v>
      </c>
      <c r="X715" s="117">
        <v>0</v>
      </c>
      <c r="Y715" s="117">
        <v>329</v>
      </c>
      <c r="Z715" s="117">
        <v>0</v>
      </c>
      <c r="AA715" s="117">
        <v>0</v>
      </c>
      <c r="AB715" s="117">
        <v>0</v>
      </c>
      <c r="AC715" s="117">
        <v>0</v>
      </c>
    </row>
    <row r="716" spans="1:29" s="4" customFormat="1" ht="30" customHeight="1" x14ac:dyDescent="0.3">
      <c r="A716" s="148" t="s">
        <v>795</v>
      </c>
      <c r="B716" s="148" t="s">
        <v>641</v>
      </c>
      <c r="C716" s="112" t="s">
        <v>69</v>
      </c>
      <c r="D716" s="67" t="s">
        <v>74</v>
      </c>
      <c r="E716" s="113">
        <v>88</v>
      </c>
      <c r="F716" s="73" t="s">
        <v>87</v>
      </c>
      <c r="G716" s="125" t="s">
        <v>924</v>
      </c>
      <c r="H716" s="118" t="s">
        <v>589</v>
      </c>
      <c r="I716" s="121" t="s">
        <v>361</v>
      </c>
      <c r="J716" s="121" t="s">
        <v>925</v>
      </c>
      <c r="K716" s="91" t="s">
        <v>32</v>
      </c>
      <c r="L716" s="72" t="s">
        <v>32</v>
      </c>
      <c r="M716" s="125" t="s">
        <v>54</v>
      </c>
      <c r="N716" s="91">
        <v>4</v>
      </c>
      <c r="O716" s="91">
        <v>60.5</v>
      </c>
      <c r="P716" s="117" t="s">
        <v>60</v>
      </c>
      <c r="Q716" s="117">
        <v>242</v>
      </c>
      <c r="R716" s="117">
        <v>0</v>
      </c>
      <c r="S716" s="117">
        <v>121</v>
      </c>
      <c r="T716" s="117">
        <v>0</v>
      </c>
      <c r="U716" s="117">
        <v>0</v>
      </c>
      <c r="V716" s="117">
        <v>0</v>
      </c>
      <c r="W716" s="117">
        <v>0</v>
      </c>
      <c r="X716" s="117">
        <v>0</v>
      </c>
      <c r="Y716" s="117">
        <v>121</v>
      </c>
      <c r="Z716" s="117">
        <v>0</v>
      </c>
      <c r="AA716" s="117">
        <v>0</v>
      </c>
      <c r="AB716" s="117">
        <v>0</v>
      </c>
      <c r="AC716" s="117">
        <v>0</v>
      </c>
    </row>
    <row r="717" spans="1:29" s="4" customFormat="1" ht="30" customHeight="1" x14ac:dyDescent="0.3">
      <c r="A717" s="148" t="s">
        <v>795</v>
      </c>
      <c r="B717" s="148" t="s">
        <v>641</v>
      </c>
      <c r="C717" s="112" t="s">
        <v>69</v>
      </c>
      <c r="D717" s="67" t="s">
        <v>74</v>
      </c>
      <c r="E717" s="113">
        <v>88</v>
      </c>
      <c r="F717" s="73" t="s">
        <v>87</v>
      </c>
      <c r="G717" s="125" t="s">
        <v>924</v>
      </c>
      <c r="H717" s="118" t="s">
        <v>589</v>
      </c>
      <c r="I717" s="121" t="s">
        <v>926</v>
      </c>
      <c r="J717" s="121" t="s">
        <v>927</v>
      </c>
      <c r="K717" s="91" t="s">
        <v>32</v>
      </c>
      <c r="L717" s="72" t="s">
        <v>32</v>
      </c>
      <c r="M717" s="125" t="s">
        <v>54</v>
      </c>
      <c r="N717" s="91">
        <v>8</v>
      </c>
      <c r="O717" s="91">
        <v>60.5</v>
      </c>
      <c r="P717" s="117" t="s">
        <v>60</v>
      </c>
      <c r="Q717" s="117">
        <v>484</v>
      </c>
      <c r="R717" s="117">
        <v>0</v>
      </c>
      <c r="S717" s="117">
        <v>242</v>
      </c>
      <c r="T717" s="117">
        <v>0</v>
      </c>
      <c r="U717" s="117">
        <v>0</v>
      </c>
      <c r="V717" s="117">
        <v>0</v>
      </c>
      <c r="W717" s="117">
        <v>0</v>
      </c>
      <c r="X717" s="117">
        <v>0</v>
      </c>
      <c r="Y717" s="117">
        <v>242</v>
      </c>
      <c r="Z717" s="117">
        <v>0</v>
      </c>
      <c r="AA717" s="117">
        <v>0</v>
      </c>
      <c r="AB717" s="117">
        <v>0</v>
      </c>
      <c r="AC717" s="117">
        <v>0</v>
      </c>
    </row>
    <row r="718" spans="1:29" s="4" customFormat="1" ht="30" customHeight="1" x14ac:dyDescent="0.3">
      <c r="A718" s="148" t="s">
        <v>795</v>
      </c>
      <c r="B718" s="148" t="s">
        <v>641</v>
      </c>
      <c r="C718" s="112" t="s">
        <v>69</v>
      </c>
      <c r="D718" s="67" t="s">
        <v>74</v>
      </c>
      <c r="E718" s="113">
        <v>88</v>
      </c>
      <c r="F718" s="73" t="s">
        <v>87</v>
      </c>
      <c r="G718" s="125" t="s">
        <v>924</v>
      </c>
      <c r="H718" s="118" t="s">
        <v>589</v>
      </c>
      <c r="I718" s="121" t="s">
        <v>928</v>
      </c>
      <c r="J718" s="121" t="s">
        <v>929</v>
      </c>
      <c r="K718" s="91" t="s">
        <v>32</v>
      </c>
      <c r="L718" s="72" t="s">
        <v>32</v>
      </c>
      <c r="M718" s="125" t="s">
        <v>54</v>
      </c>
      <c r="N718" s="91">
        <v>2</v>
      </c>
      <c r="O718" s="91">
        <v>390.5</v>
      </c>
      <c r="P718" s="117" t="s">
        <v>60</v>
      </c>
      <c r="Q718" s="117">
        <v>781</v>
      </c>
      <c r="R718" s="117">
        <v>0</v>
      </c>
      <c r="S718" s="117">
        <v>391</v>
      </c>
      <c r="T718" s="117">
        <v>0</v>
      </c>
      <c r="U718" s="117">
        <v>0</v>
      </c>
      <c r="V718" s="117">
        <v>0</v>
      </c>
      <c r="W718" s="117">
        <v>0</v>
      </c>
      <c r="X718" s="117">
        <v>0</v>
      </c>
      <c r="Y718" s="117">
        <v>0</v>
      </c>
      <c r="Z718" s="117">
        <v>0</v>
      </c>
      <c r="AA718" s="117">
        <v>0</v>
      </c>
      <c r="AB718" s="117">
        <v>390</v>
      </c>
      <c r="AC718" s="117">
        <v>0</v>
      </c>
    </row>
    <row r="719" spans="1:29" s="4" customFormat="1" ht="42" customHeight="1" x14ac:dyDescent="0.3">
      <c r="A719" s="148" t="s">
        <v>795</v>
      </c>
      <c r="B719" s="148" t="s">
        <v>641</v>
      </c>
      <c r="C719" s="112" t="s">
        <v>69</v>
      </c>
      <c r="D719" s="67" t="s">
        <v>74</v>
      </c>
      <c r="E719" s="113">
        <v>88</v>
      </c>
      <c r="F719" s="73" t="s">
        <v>87</v>
      </c>
      <c r="G719" s="149" t="s">
        <v>727</v>
      </c>
      <c r="H719" s="118" t="s">
        <v>725</v>
      </c>
      <c r="I719" s="149" t="s">
        <v>313</v>
      </c>
      <c r="J719" s="150" t="s">
        <v>571</v>
      </c>
      <c r="K719" s="91" t="s">
        <v>32</v>
      </c>
      <c r="L719" s="72" t="s">
        <v>32</v>
      </c>
      <c r="M719" s="125" t="s">
        <v>930</v>
      </c>
      <c r="N719" s="91">
        <v>12</v>
      </c>
      <c r="O719" s="91">
        <v>3804</v>
      </c>
      <c r="P719" s="117" t="s">
        <v>60</v>
      </c>
      <c r="Q719" s="117">
        <v>45648</v>
      </c>
      <c r="R719" s="117">
        <v>3804</v>
      </c>
      <c r="S719" s="117">
        <v>3804</v>
      </c>
      <c r="T719" s="117">
        <v>3804</v>
      </c>
      <c r="U719" s="117">
        <v>3804</v>
      </c>
      <c r="V719" s="117">
        <v>3804</v>
      </c>
      <c r="W719" s="117">
        <v>3804</v>
      </c>
      <c r="X719" s="117">
        <v>3804</v>
      </c>
      <c r="Y719" s="117">
        <v>3804</v>
      </c>
      <c r="Z719" s="117">
        <v>3804</v>
      </c>
      <c r="AA719" s="117">
        <v>3804</v>
      </c>
      <c r="AB719" s="117">
        <v>3804</v>
      </c>
      <c r="AC719" s="117">
        <v>3804</v>
      </c>
    </row>
    <row r="720" spans="1:29" s="4" customFormat="1" ht="30" customHeight="1" x14ac:dyDescent="0.3">
      <c r="A720" s="148" t="s">
        <v>795</v>
      </c>
      <c r="B720" s="148" t="s">
        <v>641</v>
      </c>
      <c r="C720" s="112" t="s">
        <v>69</v>
      </c>
      <c r="D720" s="67" t="s">
        <v>74</v>
      </c>
      <c r="E720" s="113">
        <v>88</v>
      </c>
      <c r="F720" s="73" t="s">
        <v>87</v>
      </c>
      <c r="G720" s="125">
        <v>29401</v>
      </c>
      <c r="H720" s="118" t="s">
        <v>931</v>
      </c>
      <c r="I720" s="121" t="s">
        <v>425</v>
      </c>
      <c r="J720" s="121" t="s">
        <v>426</v>
      </c>
      <c r="K720" s="91" t="s">
        <v>32</v>
      </c>
      <c r="L720" s="72" t="s">
        <v>32</v>
      </c>
      <c r="M720" s="125" t="s">
        <v>54</v>
      </c>
      <c r="N720" s="91">
        <v>3</v>
      </c>
      <c r="O720" s="91">
        <v>228.8</v>
      </c>
      <c r="P720" s="117" t="s">
        <v>60</v>
      </c>
      <c r="Q720" s="117">
        <v>686</v>
      </c>
      <c r="R720" s="117">
        <v>0</v>
      </c>
      <c r="S720" s="117">
        <v>0</v>
      </c>
      <c r="T720" s="117">
        <v>0</v>
      </c>
      <c r="U720" s="117">
        <v>0</v>
      </c>
      <c r="V720" s="117">
        <v>686</v>
      </c>
      <c r="W720" s="117">
        <v>0</v>
      </c>
      <c r="X720" s="117">
        <v>0</v>
      </c>
      <c r="Y720" s="117">
        <v>0</v>
      </c>
      <c r="Z720" s="117">
        <v>0</v>
      </c>
      <c r="AA720" s="117">
        <v>0</v>
      </c>
      <c r="AB720" s="117">
        <v>0</v>
      </c>
      <c r="AC720" s="117">
        <v>0</v>
      </c>
    </row>
    <row r="721" spans="1:29" s="4" customFormat="1" ht="30" customHeight="1" x14ac:dyDescent="0.3">
      <c r="A721" s="148" t="s">
        <v>795</v>
      </c>
      <c r="B721" s="148" t="s">
        <v>641</v>
      </c>
      <c r="C721" s="112" t="s">
        <v>69</v>
      </c>
      <c r="D721" s="67" t="s">
        <v>74</v>
      </c>
      <c r="E721" s="113">
        <v>88</v>
      </c>
      <c r="F721" s="73" t="s">
        <v>87</v>
      </c>
      <c r="G721" s="125" t="s">
        <v>932</v>
      </c>
      <c r="H721" s="118" t="s">
        <v>931</v>
      </c>
      <c r="I721" s="121" t="s">
        <v>933</v>
      </c>
      <c r="J721" s="121" t="s">
        <v>934</v>
      </c>
      <c r="K721" s="91" t="s">
        <v>32</v>
      </c>
      <c r="L721" s="72" t="s">
        <v>32</v>
      </c>
      <c r="M721" s="125" t="s">
        <v>54</v>
      </c>
      <c r="N721" s="91">
        <v>4</v>
      </c>
      <c r="O721" s="91">
        <v>211.91500000000002</v>
      </c>
      <c r="P721" s="117" t="s">
        <v>60</v>
      </c>
      <c r="Q721" s="117">
        <v>848</v>
      </c>
      <c r="R721" s="117">
        <v>0</v>
      </c>
      <c r="S721" s="117">
        <v>0</v>
      </c>
      <c r="T721" s="117">
        <v>0</v>
      </c>
      <c r="U721" s="117">
        <v>0</v>
      </c>
      <c r="V721" s="117">
        <v>424</v>
      </c>
      <c r="W721" s="117">
        <v>0</v>
      </c>
      <c r="X721" s="117">
        <v>0</v>
      </c>
      <c r="Y721" s="117">
        <v>424</v>
      </c>
      <c r="Z721" s="117">
        <v>0</v>
      </c>
      <c r="AA721" s="117">
        <v>0</v>
      </c>
      <c r="AB721" s="117">
        <v>0</v>
      </c>
      <c r="AC721" s="117">
        <v>0</v>
      </c>
    </row>
    <row r="722" spans="1:29" s="4" customFormat="1" ht="30" customHeight="1" x14ac:dyDescent="0.3">
      <c r="A722" s="148" t="s">
        <v>795</v>
      </c>
      <c r="B722" s="148" t="s">
        <v>641</v>
      </c>
      <c r="C722" s="112" t="s">
        <v>69</v>
      </c>
      <c r="D722" s="67" t="s">
        <v>74</v>
      </c>
      <c r="E722" s="113">
        <v>88</v>
      </c>
      <c r="F722" s="73" t="s">
        <v>87</v>
      </c>
      <c r="G722" s="125" t="s">
        <v>932</v>
      </c>
      <c r="H722" s="118" t="s">
        <v>931</v>
      </c>
      <c r="I722" s="121" t="s">
        <v>935</v>
      </c>
      <c r="J722" s="121" t="s">
        <v>936</v>
      </c>
      <c r="K722" s="91" t="s">
        <v>32</v>
      </c>
      <c r="L722" s="72" t="s">
        <v>32</v>
      </c>
      <c r="M722" s="125" t="s">
        <v>54</v>
      </c>
      <c r="N722" s="91">
        <v>1</v>
      </c>
      <c r="O722" s="91">
        <v>1857.9</v>
      </c>
      <c r="P722" s="117" t="s">
        <v>60</v>
      </c>
      <c r="Q722" s="117">
        <v>1858</v>
      </c>
      <c r="R722" s="117">
        <v>0</v>
      </c>
      <c r="S722" s="117">
        <v>0</v>
      </c>
      <c r="T722" s="117">
        <v>0</v>
      </c>
      <c r="U722" s="117">
        <v>0</v>
      </c>
      <c r="V722" s="117">
        <v>0</v>
      </c>
      <c r="W722" s="117">
        <v>0</v>
      </c>
      <c r="X722" s="117">
        <v>0</v>
      </c>
      <c r="Y722" s="117">
        <v>1857.9</v>
      </c>
      <c r="Z722" s="117">
        <v>0</v>
      </c>
      <c r="AA722" s="117">
        <v>0</v>
      </c>
      <c r="AB722" s="117">
        <v>0</v>
      </c>
      <c r="AC722" s="117">
        <v>0</v>
      </c>
    </row>
    <row r="723" spans="1:29" s="4" customFormat="1" ht="30" customHeight="1" x14ac:dyDescent="0.3">
      <c r="A723" s="148" t="s">
        <v>795</v>
      </c>
      <c r="B723" s="148" t="s">
        <v>641</v>
      </c>
      <c r="C723" s="112" t="s">
        <v>69</v>
      </c>
      <c r="D723" s="67" t="s">
        <v>74</v>
      </c>
      <c r="E723" s="113">
        <v>88</v>
      </c>
      <c r="F723" s="73" t="s">
        <v>87</v>
      </c>
      <c r="G723" s="125" t="s">
        <v>937</v>
      </c>
      <c r="H723" s="118" t="s">
        <v>938</v>
      </c>
      <c r="I723" s="121" t="s">
        <v>939</v>
      </c>
      <c r="J723" s="121" t="s">
        <v>940</v>
      </c>
      <c r="K723" s="91" t="s">
        <v>32</v>
      </c>
      <c r="L723" s="72" t="s">
        <v>32</v>
      </c>
      <c r="M723" s="125" t="s">
        <v>54</v>
      </c>
      <c r="N723" s="91">
        <v>2</v>
      </c>
      <c r="O723" s="91">
        <v>199.80399999999997</v>
      </c>
      <c r="P723" s="117" t="s">
        <v>60</v>
      </c>
      <c r="Q723" s="117">
        <v>400</v>
      </c>
      <c r="R723" s="117">
        <v>0</v>
      </c>
      <c r="S723" s="117">
        <v>0</v>
      </c>
      <c r="T723" s="117">
        <v>0</v>
      </c>
      <c r="U723" s="117">
        <v>0</v>
      </c>
      <c r="V723" s="117">
        <v>400</v>
      </c>
      <c r="W723" s="117">
        <v>0</v>
      </c>
      <c r="X723" s="117">
        <v>0</v>
      </c>
      <c r="Y723" s="117">
        <v>0</v>
      </c>
      <c r="Z723" s="117">
        <v>0</v>
      </c>
      <c r="AA723" s="117">
        <v>0</v>
      </c>
      <c r="AB723" s="117">
        <v>0</v>
      </c>
      <c r="AC723" s="117">
        <v>0</v>
      </c>
    </row>
    <row r="724" spans="1:29" s="4" customFormat="1" ht="30" customHeight="1" x14ac:dyDescent="0.3">
      <c r="A724" s="148" t="s">
        <v>795</v>
      </c>
      <c r="B724" s="148" t="s">
        <v>641</v>
      </c>
      <c r="C724" s="112" t="s">
        <v>69</v>
      </c>
      <c r="D724" s="67" t="s">
        <v>74</v>
      </c>
      <c r="E724" s="113">
        <v>88</v>
      </c>
      <c r="F724" s="73" t="s">
        <v>87</v>
      </c>
      <c r="G724" s="125">
        <v>32201</v>
      </c>
      <c r="H724" s="134" t="s">
        <v>754</v>
      </c>
      <c r="I724" s="121"/>
      <c r="J724" s="129" t="s">
        <v>941</v>
      </c>
      <c r="K724" s="135" t="s">
        <v>942</v>
      </c>
      <c r="L724" s="72" t="s">
        <v>92</v>
      </c>
      <c r="M724" s="151" t="s">
        <v>73</v>
      </c>
      <c r="N724" s="91">
        <v>1</v>
      </c>
      <c r="O724" s="91">
        <v>494028</v>
      </c>
      <c r="P724" s="117" t="s">
        <v>60</v>
      </c>
      <c r="Q724" s="117">
        <v>494028</v>
      </c>
      <c r="R724" s="117">
        <v>0</v>
      </c>
      <c r="S724" s="117">
        <v>41169</v>
      </c>
      <c r="T724" s="117">
        <v>41169</v>
      </c>
      <c r="U724" s="117">
        <v>41169</v>
      </c>
      <c r="V724" s="117">
        <v>41169</v>
      </c>
      <c r="W724" s="117">
        <v>41169</v>
      </c>
      <c r="X724" s="117">
        <v>41169</v>
      </c>
      <c r="Y724" s="117">
        <v>41169</v>
      </c>
      <c r="Z724" s="117">
        <v>41169</v>
      </c>
      <c r="AA724" s="117">
        <v>41169</v>
      </c>
      <c r="AB724" s="117">
        <v>41169</v>
      </c>
      <c r="AC724" s="117">
        <v>82338</v>
      </c>
    </row>
    <row r="725" spans="1:29" s="4" customFormat="1" ht="30" customHeight="1" x14ac:dyDescent="0.3">
      <c r="A725" s="148" t="s">
        <v>795</v>
      </c>
      <c r="B725" s="148" t="s">
        <v>641</v>
      </c>
      <c r="C725" s="112" t="s">
        <v>69</v>
      </c>
      <c r="D725" s="67" t="s">
        <v>74</v>
      </c>
      <c r="E725" s="113">
        <v>88</v>
      </c>
      <c r="F725" s="73" t="s">
        <v>87</v>
      </c>
      <c r="G725" s="125">
        <v>33604</v>
      </c>
      <c r="H725" s="118" t="s">
        <v>943</v>
      </c>
      <c r="I725" s="121"/>
      <c r="J725" s="121" t="s">
        <v>944</v>
      </c>
      <c r="K725" s="91" t="s">
        <v>32</v>
      </c>
      <c r="L725" s="72" t="s">
        <v>90</v>
      </c>
      <c r="M725" s="125" t="s">
        <v>54</v>
      </c>
      <c r="N725" s="91">
        <v>1</v>
      </c>
      <c r="O725" s="91">
        <v>2000</v>
      </c>
      <c r="P725" s="117" t="s">
        <v>60</v>
      </c>
      <c r="Q725" s="117">
        <v>2000</v>
      </c>
      <c r="R725" s="117">
        <v>0</v>
      </c>
      <c r="S725" s="117">
        <v>0</v>
      </c>
      <c r="T725" s="117">
        <v>0</v>
      </c>
      <c r="U725" s="117">
        <v>0</v>
      </c>
      <c r="V725" s="117">
        <v>2000</v>
      </c>
      <c r="W725" s="117">
        <v>0</v>
      </c>
      <c r="X725" s="117">
        <v>0</v>
      </c>
      <c r="Y725" s="117">
        <v>0</v>
      </c>
      <c r="Z725" s="117">
        <v>0</v>
      </c>
      <c r="AA725" s="117">
        <v>0</v>
      </c>
      <c r="AB725" s="117">
        <v>0</v>
      </c>
      <c r="AC725" s="117">
        <v>0</v>
      </c>
    </row>
    <row r="726" spans="1:29" s="4" customFormat="1" ht="30" customHeight="1" x14ac:dyDescent="0.3">
      <c r="A726" s="148" t="s">
        <v>795</v>
      </c>
      <c r="B726" s="148" t="s">
        <v>641</v>
      </c>
      <c r="C726" s="112" t="s">
        <v>69</v>
      </c>
      <c r="D726" s="67" t="s">
        <v>74</v>
      </c>
      <c r="E726" s="113">
        <v>88</v>
      </c>
      <c r="F726" s="73" t="s">
        <v>87</v>
      </c>
      <c r="G726" s="125">
        <v>33801</v>
      </c>
      <c r="H726" s="136" t="s">
        <v>756</v>
      </c>
      <c r="I726" s="121"/>
      <c r="J726" s="129" t="s">
        <v>945</v>
      </c>
      <c r="K726" s="117" t="s">
        <v>93</v>
      </c>
      <c r="L726" s="72" t="s">
        <v>90</v>
      </c>
      <c r="M726" s="125" t="s">
        <v>68</v>
      </c>
      <c r="N726" s="91">
        <v>1</v>
      </c>
      <c r="O726" s="91">
        <v>369426</v>
      </c>
      <c r="P726" s="117" t="s">
        <v>60</v>
      </c>
      <c r="Q726" s="117">
        <v>369426</v>
      </c>
      <c r="R726" s="117">
        <v>0</v>
      </c>
      <c r="S726" s="117">
        <v>30786</v>
      </c>
      <c r="T726" s="117">
        <v>30786</v>
      </c>
      <c r="U726" s="117">
        <v>30786</v>
      </c>
      <c r="V726" s="117">
        <v>30786</v>
      </c>
      <c r="W726" s="117">
        <v>30786</v>
      </c>
      <c r="X726" s="117">
        <v>30786</v>
      </c>
      <c r="Y726" s="117">
        <v>30786</v>
      </c>
      <c r="Z726" s="117">
        <v>30786</v>
      </c>
      <c r="AA726" s="117">
        <v>30786</v>
      </c>
      <c r="AB726" s="117">
        <v>30786</v>
      </c>
      <c r="AC726" s="117">
        <v>61566</v>
      </c>
    </row>
    <row r="727" spans="1:29" s="4" customFormat="1" ht="30" customHeight="1" x14ac:dyDescent="0.3">
      <c r="A727" s="148" t="s">
        <v>795</v>
      </c>
      <c r="B727" s="148" t="s">
        <v>641</v>
      </c>
      <c r="C727" s="112" t="s">
        <v>69</v>
      </c>
      <c r="D727" s="67" t="s">
        <v>74</v>
      </c>
      <c r="E727" s="113">
        <v>88</v>
      </c>
      <c r="F727" s="73" t="s">
        <v>87</v>
      </c>
      <c r="G727" s="125">
        <v>35201</v>
      </c>
      <c r="H727" s="80" t="s">
        <v>808</v>
      </c>
      <c r="I727" s="121"/>
      <c r="J727" s="80" t="s">
        <v>809</v>
      </c>
      <c r="K727" s="91" t="s">
        <v>32</v>
      </c>
      <c r="L727" s="72" t="s">
        <v>90</v>
      </c>
      <c r="M727" s="125" t="s">
        <v>68</v>
      </c>
      <c r="N727" s="91">
        <v>1</v>
      </c>
      <c r="O727" s="91">
        <v>2600</v>
      </c>
      <c r="P727" s="117" t="s">
        <v>60</v>
      </c>
      <c r="Q727" s="117">
        <v>2600</v>
      </c>
      <c r="R727" s="117">
        <v>0</v>
      </c>
      <c r="S727" s="117">
        <v>0</v>
      </c>
      <c r="T727" s="117">
        <v>0</v>
      </c>
      <c r="U727" s="117">
        <v>0</v>
      </c>
      <c r="V727" s="117">
        <v>2600</v>
      </c>
      <c r="W727" s="117">
        <v>0</v>
      </c>
      <c r="X727" s="117">
        <v>0</v>
      </c>
      <c r="Y727" s="117">
        <v>0</v>
      </c>
      <c r="Z727" s="117">
        <v>0</v>
      </c>
      <c r="AA727" s="117">
        <v>0</v>
      </c>
      <c r="AB727" s="117">
        <v>0</v>
      </c>
      <c r="AC727" s="117">
        <v>0</v>
      </c>
    </row>
    <row r="728" spans="1:29" s="4" customFormat="1" ht="30" customHeight="1" x14ac:dyDescent="0.3">
      <c r="A728" s="148" t="s">
        <v>795</v>
      </c>
      <c r="B728" s="148" t="s">
        <v>641</v>
      </c>
      <c r="C728" s="112" t="s">
        <v>69</v>
      </c>
      <c r="D728" s="67" t="s">
        <v>74</v>
      </c>
      <c r="E728" s="113">
        <v>88</v>
      </c>
      <c r="F728" s="73" t="s">
        <v>87</v>
      </c>
      <c r="G728" s="125">
        <v>35801</v>
      </c>
      <c r="H728" s="136" t="s">
        <v>758</v>
      </c>
      <c r="I728" s="121"/>
      <c r="J728" s="129" t="s">
        <v>946</v>
      </c>
      <c r="K728" s="117" t="s">
        <v>94</v>
      </c>
      <c r="L728" s="72" t="s">
        <v>90</v>
      </c>
      <c r="M728" s="125" t="s">
        <v>68</v>
      </c>
      <c r="N728" s="91">
        <v>1</v>
      </c>
      <c r="O728" s="91">
        <v>117612</v>
      </c>
      <c r="P728" s="117" t="s">
        <v>88</v>
      </c>
      <c r="Q728" s="117">
        <v>117612</v>
      </c>
      <c r="R728" s="117">
        <v>0</v>
      </c>
      <c r="S728" s="117">
        <v>9801</v>
      </c>
      <c r="T728" s="117">
        <v>9801</v>
      </c>
      <c r="U728" s="117">
        <v>9801</v>
      </c>
      <c r="V728" s="117">
        <v>9801</v>
      </c>
      <c r="W728" s="117">
        <v>9801</v>
      </c>
      <c r="X728" s="117">
        <v>9801</v>
      </c>
      <c r="Y728" s="117">
        <v>9801</v>
      </c>
      <c r="Z728" s="117">
        <v>9801</v>
      </c>
      <c r="AA728" s="117">
        <v>9801</v>
      </c>
      <c r="AB728" s="117">
        <v>9801</v>
      </c>
      <c r="AC728" s="117">
        <v>19602</v>
      </c>
    </row>
    <row r="729" spans="1:29" s="4" customFormat="1" ht="30" customHeight="1" x14ac:dyDescent="0.3">
      <c r="A729" s="152" t="s">
        <v>947</v>
      </c>
      <c r="B729" s="153" t="s">
        <v>948</v>
      </c>
      <c r="C729" s="154" t="s">
        <v>69</v>
      </c>
      <c r="D729" s="154" t="s">
        <v>70</v>
      </c>
      <c r="E729" s="154" t="s">
        <v>69</v>
      </c>
      <c r="F729" s="154" t="s">
        <v>71</v>
      </c>
      <c r="G729" s="154" t="s">
        <v>949</v>
      </c>
      <c r="H729" s="154" t="s">
        <v>950</v>
      </c>
      <c r="I729" s="155" t="s">
        <v>951</v>
      </c>
      <c r="J729" s="156" t="s">
        <v>813</v>
      </c>
      <c r="K729" s="156" t="s">
        <v>379</v>
      </c>
      <c r="L729" s="157" t="s">
        <v>379</v>
      </c>
      <c r="M729" s="141" t="s">
        <v>55</v>
      </c>
      <c r="N729" s="156">
        <v>23</v>
      </c>
      <c r="O729" s="158">
        <v>40</v>
      </c>
      <c r="P729" s="158" t="s">
        <v>952</v>
      </c>
      <c r="Q729" s="159">
        <v>920</v>
      </c>
      <c r="R729" s="154">
        <v>0</v>
      </c>
      <c r="S729" s="160">
        <v>0</v>
      </c>
      <c r="T729" s="56">
        <v>0</v>
      </c>
      <c r="U729" s="56">
        <v>0</v>
      </c>
      <c r="V729" s="56">
        <v>0</v>
      </c>
      <c r="W729" s="56">
        <v>920</v>
      </c>
      <c r="X729" s="56">
        <v>0</v>
      </c>
      <c r="Y729" s="56">
        <v>0</v>
      </c>
      <c r="Z729" s="56">
        <v>0</v>
      </c>
      <c r="AA729" s="56">
        <v>0</v>
      </c>
      <c r="AB729" s="56">
        <v>0</v>
      </c>
      <c r="AC729" s="56">
        <v>0</v>
      </c>
    </row>
    <row r="730" spans="1:29" s="4" customFormat="1" ht="30" customHeight="1" x14ac:dyDescent="0.3">
      <c r="A730" s="152" t="s">
        <v>947</v>
      </c>
      <c r="B730" s="153" t="s">
        <v>948</v>
      </c>
      <c r="C730" s="154" t="s">
        <v>69</v>
      </c>
      <c r="D730" s="154" t="s">
        <v>70</v>
      </c>
      <c r="E730" s="154" t="s">
        <v>69</v>
      </c>
      <c r="F730" s="154" t="s">
        <v>71</v>
      </c>
      <c r="G730" s="154" t="s">
        <v>949</v>
      </c>
      <c r="H730" s="154" t="s">
        <v>950</v>
      </c>
      <c r="I730" s="155" t="s">
        <v>270</v>
      </c>
      <c r="J730" s="156" t="s">
        <v>35</v>
      </c>
      <c r="K730" s="156" t="s">
        <v>379</v>
      </c>
      <c r="L730" s="157" t="s">
        <v>379</v>
      </c>
      <c r="M730" s="141" t="s">
        <v>383</v>
      </c>
      <c r="N730" s="156">
        <v>8</v>
      </c>
      <c r="O730" s="158">
        <v>12</v>
      </c>
      <c r="P730" s="158" t="s">
        <v>952</v>
      </c>
      <c r="Q730" s="159">
        <v>96</v>
      </c>
      <c r="R730" s="154">
        <v>0</v>
      </c>
      <c r="S730" s="160">
        <v>0</v>
      </c>
      <c r="T730" s="56">
        <v>0</v>
      </c>
      <c r="U730" s="56">
        <v>0</v>
      </c>
      <c r="V730" s="56">
        <v>0</v>
      </c>
      <c r="W730" s="56">
        <v>72</v>
      </c>
      <c r="X730" s="56">
        <v>0</v>
      </c>
      <c r="Y730" s="56">
        <v>0</v>
      </c>
      <c r="Z730" s="56">
        <v>24</v>
      </c>
      <c r="AA730" s="56">
        <v>0</v>
      </c>
      <c r="AB730" s="56">
        <v>0</v>
      </c>
      <c r="AC730" s="56">
        <v>0</v>
      </c>
    </row>
    <row r="731" spans="1:29" s="4" customFormat="1" ht="30" customHeight="1" x14ac:dyDescent="0.3">
      <c r="A731" s="152" t="s">
        <v>947</v>
      </c>
      <c r="B731" s="153" t="s">
        <v>948</v>
      </c>
      <c r="C731" s="154" t="s">
        <v>69</v>
      </c>
      <c r="D731" s="154" t="s">
        <v>70</v>
      </c>
      <c r="E731" s="154" t="s">
        <v>69</v>
      </c>
      <c r="F731" s="154" t="s">
        <v>71</v>
      </c>
      <c r="G731" s="154" t="s">
        <v>949</v>
      </c>
      <c r="H731" s="154" t="s">
        <v>950</v>
      </c>
      <c r="I731" s="155" t="s">
        <v>835</v>
      </c>
      <c r="J731" s="156" t="s">
        <v>836</v>
      </c>
      <c r="K731" s="156" t="s">
        <v>379</v>
      </c>
      <c r="L731" s="157" t="s">
        <v>379</v>
      </c>
      <c r="M731" s="141" t="s">
        <v>383</v>
      </c>
      <c r="N731" s="156">
        <v>14</v>
      </c>
      <c r="O731" s="158">
        <v>44</v>
      </c>
      <c r="P731" s="158" t="s">
        <v>952</v>
      </c>
      <c r="Q731" s="159">
        <v>616</v>
      </c>
      <c r="R731" s="154">
        <v>0</v>
      </c>
      <c r="S731" s="160">
        <v>0</v>
      </c>
      <c r="T731" s="56">
        <v>0</v>
      </c>
      <c r="U731" s="56">
        <v>0</v>
      </c>
      <c r="V731" s="56">
        <v>0</v>
      </c>
      <c r="W731" s="56">
        <v>616</v>
      </c>
      <c r="X731" s="56">
        <v>0</v>
      </c>
      <c r="Y731" s="56">
        <v>0</v>
      </c>
      <c r="Z731" s="56">
        <v>0</v>
      </c>
      <c r="AA731" s="56">
        <v>0</v>
      </c>
      <c r="AB731" s="56">
        <v>0</v>
      </c>
      <c r="AC731" s="56">
        <v>0</v>
      </c>
    </row>
    <row r="732" spans="1:29" s="4" customFormat="1" ht="30" customHeight="1" x14ac:dyDescent="0.3">
      <c r="A732" s="152" t="s">
        <v>947</v>
      </c>
      <c r="B732" s="153" t="s">
        <v>948</v>
      </c>
      <c r="C732" s="154" t="s">
        <v>69</v>
      </c>
      <c r="D732" s="154" t="s">
        <v>70</v>
      </c>
      <c r="E732" s="154" t="s">
        <v>69</v>
      </c>
      <c r="F732" s="154" t="s">
        <v>71</v>
      </c>
      <c r="G732" s="154" t="s">
        <v>949</v>
      </c>
      <c r="H732" s="154" t="s">
        <v>950</v>
      </c>
      <c r="I732" s="155" t="s">
        <v>283</v>
      </c>
      <c r="J732" s="156" t="s">
        <v>36</v>
      </c>
      <c r="K732" s="156" t="s">
        <v>379</v>
      </c>
      <c r="L732" s="157" t="s">
        <v>379</v>
      </c>
      <c r="M732" s="141" t="s">
        <v>383</v>
      </c>
      <c r="N732" s="156">
        <v>10</v>
      </c>
      <c r="O732" s="158">
        <v>48</v>
      </c>
      <c r="P732" s="158" t="s">
        <v>952</v>
      </c>
      <c r="Q732" s="159">
        <v>480</v>
      </c>
      <c r="R732" s="154">
        <v>0</v>
      </c>
      <c r="S732" s="160">
        <v>0</v>
      </c>
      <c r="T732" s="56">
        <v>0</v>
      </c>
      <c r="U732" s="56">
        <v>0</v>
      </c>
      <c r="V732" s="56">
        <v>0</v>
      </c>
      <c r="W732" s="56">
        <v>480</v>
      </c>
      <c r="X732" s="56">
        <v>0</v>
      </c>
      <c r="Y732" s="56">
        <v>0</v>
      </c>
      <c r="Z732" s="56">
        <v>0</v>
      </c>
      <c r="AA732" s="56">
        <v>0</v>
      </c>
      <c r="AB732" s="56">
        <v>0</v>
      </c>
      <c r="AC732" s="56">
        <v>0</v>
      </c>
    </row>
    <row r="733" spans="1:29" s="4" customFormat="1" ht="30" customHeight="1" x14ac:dyDescent="0.3">
      <c r="A733" s="152" t="s">
        <v>947</v>
      </c>
      <c r="B733" s="153" t="s">
        <v>948</v>
      </c>
      <c r="C733" s="154" t="s">
        <v>69</v>
      </c>
      <c r="D733" s="154" t="s">
        <v>70</v>
      </c>
      <c r="E733" s="154" t="s">
        <v>69</v>
      </c>
      <c r="F733" s="154" t="s">
        <v>71</v>
      </c>
      <c r="G733" s="154" t="s">
        <v>949</v>
      </c>
      <c r="H733" s="154" t="s">
        <v>950</v>
      </c>
      <c r="I733" s="155" t="s">
        <v>279</v>
      </c>
      <c r="J733" s="156" t="s">
        <v>528</v>
      </c>
      <c r="K733" s="156" t="s">
        <v>379</v>
      </c>
      <c r="L733" s="157" t="s">
        <v>379</v>
      </c>
      <c r="M733" s="141" t="s">
        <v>383</v>
      </c>
      <c r="N733" s="156">
        <v>12</v>
      </c>
      <c r="O733" s="158">
        <v>61</v>
      </c>
      <c r="P733" s="158" t="s">
        <v>952</v>
      </c>
      <c r="Q733" s="159">
        <v>732</v>
      </c>
      <c r="R733" s="154">
        <v>0</v>
      </c>
      <c r="S733" s="160">
        <v>0</v>
      </c>
      <c r="T733" s="56">
        <v>0</v>
      </c>
      <c r="U733" s="56">
        <v>0</v>
      </c>
      <c r="V733" s="56">
        <v>0</v>
      </c>
      <c r="W733" s="56">
        <v>61</v>
      </c>
      <c r="X733" s="56">
        <v>0</v>
      </c>
      <c r="Y733" s="56">
        <v>0</v>
      </c>
      <c r="Z733" s="56">
        <v>0</v>
      </c>
      <c r="AA733" s="56">
        <v>488</v>
      </c>
      <c r="AB733" s="56">
        <v>183</v>
      </c>
      <c r="AC733" s="56">
        <v>0</v>
      </c>
    </row>
    <row r="734" spans="1:29" s="4" customFormat="1" ht="30" customHeight="1" x14ac:dyDescent="0.3">
      <c r="A734" s="152" t="s">
        <v>947</v>
      </c>
      <c r="B734" s="153" t="s">
        <v>948</v>
      </c>
      <c r="C734" s="154" t="s">
        <v>69</v>
      </c>
      <c r="D734" s="154" t="s">
        <v>70</v>
      </c>
      <c r="E734" s="154" t="s">
        <v>69</v>
      </c>
      <c r="F734" s="154" t="s">
        <v>71</v>
      </c>
      <c r="G734" s="154" t="s">
        <v>949</v>
      </c>
      <c r="H734" s="154" t="s">
        <v>950</v>
      </c>
      <c r="I734" s="155" t="s">
        <v>953</v>
      </c>
      <c r="J734" s="156" t="s">
        <v>954</v>
      </c>
      <c r="K734" s="156" t="s">
        <v>379</v>
      </c>
      <c r="L734" s="157" t="s">
        <v>379</v>
      </c>
      <c r="M734" s="141" t="s">
        <v>383</v>
      </c>
      <c r="N734" s="156">
        <v>14</v>
      </c>
      <c r="O734" s="158">
        <v>65</v>
      </c>
      <c r="P734" s="158" t="s">
        <v>952</v>
      </c>
      <c r="Q734" s="159">
        <v>910</v>
      </c>
      <c r="R734" s="154">
        <v>0</v>
      </c>
      <c r="S734" s="160">
        <v>0</v>
      </c>
      <c r="T734" s="56">
        <v>0</v>
      </c>
      <c r="U734" s="56">
        <v>0</v>
      </c>
      <c r="V734" s="56">
        <v>0</v>
      </c>
      <c r="W734" s="56">
        <v>130</v>
      </c>
      <c r="X734" s="56">
        <v>0</v>
      </c>
      <c r="Y734" s="56">
        <v>0</v>
      </c>
      <c r="Z734" s="56">
        <v>0</v>
      </c>
      <c r="AA734" s="56">
        <v>780</v>
      </c>
      <c r="AB734" s="56">
        <v>0</v>
      </c>
      <c r="AC734" s="56">
        <v>0</v>
      </c>
    </row>
    <row r="735" spans="1:29" s="4" customFormat="1" ht="30" customHeight="1" x14ac:dyDescent="0.3">
      <c r="A735" s="152" t="s">
        <v>947</v>
      </c>
      <c r="B735" s="153" t="s">
        <v>948</v>
      </c>
      <c r="C735" s="154" t="s">
        <v>69</v>
      </c>
      <c r="D735" s="154" t="s">
        <v>70</v>
      </c>
      <c r="E735" s="154" t="s">
        <v>69</v>
      </c>
      <c r="F735" s="154" t="s">
        <v>71</v>
      </c>
      <c r="G735" s="154" t="s">
        <v>949</v>
      </c>
      <c r="H735" s="154" t="s">
        <v>950</v>
      </c>
      <c r="I735" s="155" t="s">
        <v>264</v>
      </c>
      <c r="J735" s="156" t="s">
        <v>37</v>
      </c>
      <c r="K735" s="156" t="s">
        <v>379</v>
      </c>
      <c r="L735" s="157" t="s">
        <v>379</v>
      </c>
      <c r="M735" s="141" t="s">
        <v>383</v>
      </c>
      <c r="N735" s="156">
        <v>5</v>
      </c>
      <c r="O735" s="158">
        <v>23</v>
      </c>
      <c r="P735" s="158" t="s">
        <v>952</v>
      </c>
      <c r="Q735" s="159">
        <v>115</v>
      </c>
      <c r="R735" s="154">
        <v>0</v>
      </c>
      <c r="S735" s="160">
        <v>69</v>
      </c>
      <c r="T735" s="56">
        <v>0</v>
      </c>
      <c r="U735" s="56">
        <v>0</v>
      </c>
      <c r="V735" s="56">
        <v>0</v>
      </c>
      <c r="W735" s="56">
        <v>46</v>
      </c>
      <c r="X735" s="56">
        <v>0</v>
      </c>
      <c r="Y735" s="56">
        <v>0</v>
      </c>
      <c r="Z735" s="56">
        <v>0</v>
      </c>
      <c r="AA735" s="56">
        <v>0</v>
      </c>
      <c r="AB735" s="56">
        <v>0</v>
      </c>
      <c r="AC735" s="56">
        <v>0</v>
      </c>
    </row>
    <row r="736" spans="1:29" s="4" customFormat="1" ht="30" customHeight="1" x14ac:dyDescent="0.3">
      <c r="A736" s="152" t="s">
        <v>947</v>
      </c>
      <c r="B736" s="153" t="s">
        <v>948</v>
      </c>
      <c r="C736" s="154" t="s">
        <v>69</v>
      </c>
      <c r="D736" s="154" t="s">
        <v>70</v>
      </c>
      <c r="E736" s="154" t="s">
        <v>69</v>
      </c>
      <c r="F736" s="154" t="s">
        <v>71</v>
      </c>
      <c r="G736" s="154" t="s">
        <v>949</v>
      </c>
      <c r="H736" s="154" t="s">
        <v>950</v>
      </c>
      <c r="I736" s="155" t="s">
        <v>955</v>
      </c>
      <c r="J736" s="156" t="s">
        <v>956</v>
      </c>
      <c r="K736" s="156" t="s">
        <v>379</v>
      </c>
      <c r="L736" s="157" t="s">
        <v>379</v>
      </c>
      <c r="M736" s="141" t="s">
        <v>383</v>
      </c>
      <c r="N736" s="156">
        <v>4</v>
      </c>
      <c r="O736" s="158">
        <v>23</v>
      </c>
      <c r="P736" s="158" t="s">
        <v>952</v>
      </c>
      <c r="Q736" s="159">
        <v>92</v>
      </c>
      <c r="R736" s="154">
        <v>0</v>
      </c>
      <c r="S736" s="160">
        <v>92</v>
      </c>
      <c r="T736" s="56">
        <v>0</v>
      </c>
      <c r="U736" s="56">
        <v>0</v>
      </c>
      <c r="V736" s="56">
        <v>0</v>
      </c>
      <c r="W736" s="56">
        <v>0</v>
      </c>
      <c r="X736" s="56">
        <v>0</v>
      </c>
      <c r="Y736" s="56">
        <v>0</v>
      </c>
      <c r="Z736" s="56">
        <v>0</v>
      </c>
      <c r="AA736" s="56">
        <v>0</v>
      </c>
      <c r="AB736" s="56">
        <v>0</v>
      </c>
      <c r="AC736" s="56">
        <v>0</v>
      </c>
    </row>
    <row r="737" spans="1:29" s="4" customFormat="1" ht="30" customHeight="1" x14ac:dyDescent="0.3">
      <c r="A737" s="152" t="s">
        <v>947</v>
      </c>
      <c r="B737" s="153" t="s">
        <v>948</v>
      </c>
      <c r="C737" s="154" t="s">
        <v>69</v>
      </c>
      <c r="D737" s="154" t="s">
        <v>70</v>
      </c>
      <c r="E737" s="154" t="s">
        <v>69</v>
      </c>
      <c r="F737" s="154" t="s">
        <v>71</v>
      </c>
      <c r="G737" s="154" t="s">
        <v>949</v>
      </c>
      <c r="H737" s="154" t="s">
        <v>950</v>
      </c>
      <c r="I737" s="155" t="s">
        <v>457</v>
      </c>
      <c r="J737" s="156" t="s">
        <v>458</v>
      </c>
      <c r="K737" s="156" t="s">
        <v>379</v>
      </c>
      <c r="L737" s="157" t="s">
        <v>379</v>
      </c>
      <c r="M737" s="141" t="s">
        <v>383</v>
      </c>
      <c r="N737" s="156">
        <v>6</v>
      </c>
      <c r="O737" s="158">
        <v>166.00000000000003</v>
      </c>
      <c r="P737" s="158" t="s">
        <v>952</v>
      </c>
      <c r="Q737" s="159">
        <v>996</v>
      </c>
      <c r="R737" s="154">
        <v>0</v>
      </c>
      <c r="S737" s="160">
        <v>996.00000000000023</v>
      </c>
      <c r="T737" s="56">
        <v>0</v>
      </c>
      <c r="U737" s="56">
        <v>0</v>
      </c>
      <c r="V737" s="56">
        <v>0</v>
      </c>
      <c r="W737" s="56">
        <v>0</v>
      </c>
      <c r="X737" s="56">
        <v>0</v>
      </c>
      <c r="Y737" s="56">
        <v>0</v>
      </c>
      <c r="Z737" s="56">
        <v>0</v>
      </c>
      <c r="AA737" s="56">
        <v>0</v>
      </c>
      <c r="AB737" s="56">
        <v>0</v>
      </c>
      <c r="AC737" s="56">
        <v>0</v>
      </c>
    </row>
    <row r="738" spans="1:29" s="4" customFormat="1" ht="30" customHeight="1" x14ac:dyDescent="0.3">
      <c r="A738" s="152" t="s">
        <v>947</v>
      </c>
      <c r="B738" s="153" t="s">
        <v>948</v>
      </c>
      <c r="C738" s="154" t="s">
        <v>69</v>
      </c>
      <c r="D738" s="154" t="s">
        <v>70</v>
      </c>
      <c r="E738" s="154" t="s">
        <v>69</v>
      </c>
      <c r="F738" s="154" t="s">
        <v>71</v>
      </c>
      <c r="G738" s="154" t="s">
        <v>949</v>
      </c>
      <c r="H738" s="154" t="s">
        <v>950</v>
      </c>
      <c r="I738" s="155" t="s">
        <v>957</v>
      </c>
      <c r="J738" s="156" t="s">
        <v>958</v>
      </c>
      <c r="K738" s="156" t="s">
        <v>379</v>
      </c>
      <c r="L738" s="157" t="s">
        <v>379</v>
      </c>
      <c r="M738" s="141" t="s">
        <v>383</v>
      </c>
      <c r="N738" s="156">
        <v>8</v>
      </c>
      <c r="O738" s="158">
        <v>12</v>
      </c>
      <c r="P738" s="158" t="s">
        <v>952</v>
      </c>
      <c r="Q738" s="159">
        <v>96</v>
      </c>
      <c r="R738" s="154">
        <v>0</v>
      </c>
      <c r="S738" s="160">
        <v>96</v>
      </c>
      <c r="T738" s="56">
        <v>0</v>
      </c>
      <c r="U738" s="56">
        <v>0</v>
      </c>
      <c r="V738" s="56">
        <v>0</v>
      </c>
      <c r="W738" s="56">
        <v>0</v>
      </c>
      <c r="X738" s="56">
        <v>0</v>
      </c>
      <c r="Y738" s="56">
        <v>0</v>
      </c>
      <c r="Z738" s="56">
        <v>0</v>
      </c>
      <c r="AA738" s="56">
        <v>0</v>
      </c>
      <c r="AB738" s="56">
        <v>0</v>
      </c>
      <c r="AC738" s="56">
        <v>0</v>
      </c>
    </row>
    <row r="739" spans="1:29" s="4" customFormat="1" ht="30" customHeight="1" x14ac:dyDescent="0.3">
      <c r="A739" s="152" t="s">
        <v>947</v>
      </c>
      <c r="B739" s="153" t="s">
        <v>948</v>
      </c>
      <c r="C739" s="154" t="s">
        <v>69</v>
      </c>
      <c r="D739" s="154" t="s">
        <v>70</v>
      </c>
      <c r="E739" s="154" t="s">
        <v>69</v>
      </c>
      <c r="F739" s="154" t="s">
        <v>71</v>
      </c>
      <c r="G739" s="154" t="s">
        <v>949</v>
      </c>
      <c r="H739" s="154" t="s">
        <v>950</v>
      </c>
      <c r="I739" s="155" t="s">
        <v>959</v>
      </c>
      <c r="J739" s="156" t="s">
        <v>960</v>
      </c>
      <c r="K739" s="156" t="s">
        <v>379</v>
      </c>
      <c r="L739" s="157" t="s">
        <v>379</v>
      </c>
      <c r="M739" s="141" t="s">
        <v>383</v>
      </c>
      <c r="N739" s="156">
        <v>8</v>
      </c>
      <c r="O739" s="158">
        <v>21</v>
      </c>
      <c r="P739" s="158" t="s">
        <v>952</v>
      </c>
      <c r="Q739" s="159">
        <v>168</v>
      </c>
      <c r="R739" s="154">
        <v>0</v>
      </c>
      <c r="S739" s="160">
        <v>0</v>
      </c>
      <c r="T739" s="56">
        <v>0</v>
      </c>
      <c r="U739" s="56">
        <v>0</v>
      </c>
      <c r="V739" s="56">
        <v>0</v>
      </c>
      <c r="W739" s="56">
        <v>168</v>
      </c>
      <c r="X739" s="56">
        <v>0</v>
      </c>
      <c r="Y739" s="56">
        <v>0</v>
      </c>
      <c r="Z739" s="56">
        <v>0</v>
      </c>
      <c r="AA739" s="56">
        <v>0</v>
      </c>
      <c r="AB739" s="56">
        <v>0</v>
      </c>
      <c r="AC739" s="56">
        <v>0</v>
      </c>
    </row>
    <row r="740" spans="1:29" s="4" customFormat="1" ht="30" customHeight="1" x14ac:dyDescent="0.3">
      <c r="A740" s="152" t="s">
        <v>947</v>
      </c>
      <c r="B740" s="153" t="s">
        <v>948</v>
      </c>
      <c r="C740" s="154" t="s">
        <v>69</v>
      </c>
      <c r="D740" s="154" t="s">
        <v>70</v>
      </c>
      <c r="E740" s="154" t="s">
        <v>69</v>
      </c>
      <c r="F740" s="154" t="s">
        <v>71</v>
      </c>
      <c r="G740" s="154" t="s">
        <v>949</v>
      </c>
      <c r="H740" s="154" t="s">
        <v>950</v>
      </c>
      <c r="I740" s="155" t="s">
        <v>251</v>
      </c>
      <c r="J740" s="156" t="s">
        <v>39</v>
      </c>
      <c r="K740" s="156" t="s">
        <v>379</v>
      </c>
      <c r="L740" s="157" t="s">
        <v>379</v>
      </c>
      <c r="M740" s="141" t="s">
        <v>55</v>
      </c>
      <c r="N740" s="156">
        <v>8</v>
      </c>
      <c r="O740" s="158">
        <v>16</v>
      </c>
      <c r="P740" s="158" t="s">
        <v>952</v>
      </c>
      <c r="Q740" s="159">
        <v>128</v>
      </c>
      <c r="R740" s="154">
        <v>0</v>
      </c>
      <c r="S740" s="160">
        <v>128</v>
      </c>
      <c r="T740" s="56">
        <v>0</v>
      </c>
      <c r="U740" s="56">
        <v>0</v>
      </c>
      <c r="V740" s="56">
        <v>0</v>
      </c>
      <c r="W740" s="56">
        <v>0</v>
      </c>
      <c r="X740" s="56">
        <v>0</v>
      </c>
      <c r="Y740" s="56">
        <v>0</v>
      </c>
      <c r="Z740" s="56">
        <v>0</v>
      </c>
      <c r="AA740" s="56">
        <v>0</v>
      </c>
      <c r="AB740" s="56">
        <v>0</v>
      </c>
      <c r="AC740" s="56">
        <v>0</v>
      </c>
    </row>
    <row r="741" spans="1:29" s="4" customFormat="1" ht="30" customHeight="1" x14ac:dyDescent="0.3">
      <c r="A741" s="152" t="s">
        <v>947</v>
      </c>
      <c r="B741" s="153" t="s">
        <v>948</v>
      </c>
      <c r="C741" s="154" t="s">
        <v>69</v>
      </c>
      <c r="D741" s="154" t="s">
        <v>70</v>
      </c>
      <c r="E741" s="154" t="s">
        <v>69</v>
      </c>
      <c r="F741" s="154" t="s">
        <v>71</v>
      </c>
      <c r="G741" s="154" t="s">
        <v>949</v>
      </c>
      <c r="H741" s="154" t="s">
        <v>950</v>
      </c>
      <c r="I741" s="155" t="s">
        <v>255</v>
      </c>
      <c r="J741" s="156" t="s">
        <v>40</v>
      </c>
      <c r="K741" s="156" t="s">
        <v>379</v>
      </c>
      <c r="L741" s="157" t="s">
        <v>379</v>
      </c>
      <c r="M741" s="141" t="s">
        <v>55</v>
      </c>
      <c r="N741" s="156">
        <v>6</v>
      </c>
      <c r="O741" s="158">
        <v>15</v>
      </c>
      <c r="P741" s="158" t="s">
        <v>952</v>
      </c>
      <c r="Q741" s="159">
        <v>90</v>
      </c>
      <c r="R741" s="154">
        <v>0</v>
      </c>
      <c r="S741" s="160">
        <v>90</v>
      </c>
      <c r="T741" s="56">
        <v>0</v>
      </c>
      <c r="U741" s="56">
        <v>0</v>
      </c>
      <c r="V741" s="56">
        <v>0</v>
      </c>
      <c r="W741" s="56">
        <v>0</v>
      </c>
      <c r="X741" s="56">
        <v>0</v>
      </c>
      <c r="Y741" s="56">
        <v>0</v>
      </c>
      <c r="Z741" s="56">
        <v>0</v>
      </c>
      <c r="AA741" s="56">
        <v>0</v>
      </c>
      <c r="AB741" s="56">
        <v>0</v>
      </c>
      <c r="AC741" s="56">
        <v>0</v>
      </c>
    </row>
    <row r="742" spans="1:29" s="4" customFormat="1" ht="30" customHeight="1" x14ac:dyDescent="0.3">
      <c r="A742" s="152" t="s">
        <v>947</v>
      </c>
      <c r="B742" s="153" t="s">
        <v>948</v>
      </c>
      <c r="C742" s="154" t="s">
        <v>69</v>
      </c>
      <c r="D742" s="154" t="s">
        <v>70</v>
      </c>
      <c r="E742" s="154" t="s">
        <v>69</v>
      </c>
      <c r="F742" s="154" t="s">
        <v>71</v>
      </c>
      <c r="G742" s="154" t="s">
        <v>949</v>
      </c>
      <c r="H742" s="154" t="s">
        <v>950</v>
      </c>
      <c r="I742" s="155" t="s">
        <v>961</v>
      </c>
      <c r="J742" s="156" t="s">
        <v>962</v>
      </c>
      <c r="K742" s="156" t="s">
        <v>379</v>
      </c>
      <c r="L742" s="157" t="s">
        <v>379</v>
      </c>
      <c r="M742" s="141" t="s">
        <v>55</v>
      </c>
      <c r="N742" s="156">
        <v>8</v>
      </c>
      <c r="O742" s="158">
        <v>32</v>
      </c>
      <c r="P742" s="158" t="s">
        <v>952</v>
      </c>
      <c r="Q742" s="159">
        <v>256</v>
      </c>
      <c r="R742" s="154">
        <v>0</v>
      </c>
      <c r="S742" s="160">
        <v>256</v>
      </c>
      <c r="T742" s="56">
        <v>0</v>
      </c>
      <c r="U742" s="56">
        <v>0</v>
      </c>
      <c r="V742" s="56">
        <v>0</v>
      </c>
      <c r="W742" s="56">
        <v>0</v>
      </c>
      <c r="X742" s="56">
        <v>0</v>
      </c>
      <c r="Y742" s="56">
        <v>0</v>
      </c>
      <c r="Z742" s="56">
        <v>0</v>
      </c>
      <c r="AA742" s="56">
        <v>0</v>
      </c>
      <c r="AB742" s="56">
        <v>0</v>
      </c>
      <c r="AC742" s="56">
        <v>0</v>
      </c>
    </row>
    <row r="743" spans="1:29" s="4" customFormat="1" ht="30" customHeight="1" x14ac:dyDescent="0.3">
      <c r="A743" s="152" t="s">
        <v>947</v>
      </c>
      <c r="B743" s="153" t="s">
        <v>948</v>
      </c>
      <c r="C743" s="154" t="s">
        <v>69</v>
      </c>
      <c r="D743" s="154" t="s">
        <v>70</v>
      </c>
      <c r="E743" s="154" t="s">
        <v>69</v>
      </c>
      <c r="F743" s="154" t="s">
        <v>71</v>
      </c>
      <c r="G743" s="154" t="s">
        <v>949</v>
      </c>
      <c r="H743" s="154" t="s">
        <v>950</v>
      </c>
      <c r="I743" s="155" t="s">
        <v>963</v>
      </c>
      <c r="J743" s="156" t="s">
        <v>848</v>
      </c>
      <c r="K743" s="156" t="s">
        <v>379</v>
      </c>
      <c r="L743" s="157" t="s">
        <v>379</v>
      </c>
      <c r="M743" s="141" t="s">
        <v>55</v>
      </c>
      <c r="N743" s="156">
        <v>4</v>
      </c>
      <c r="O743" s="158">
        <v>56</v>
      </c>
      <c r="P743" s="158" t="s">
        <v>952</v>
      </c>
      <c r="Q743" s="159">
        <v>224</v>
      </c>
      <c r="R743" s="154">
        <v>0</v>
      </c>
      <c r="S743" s="160">
        <v>0</v>
      </c>
      <c r="T743" s="56">
        <v>0</v>
      </c>
      <c r="U743" s="56">
        <v>0</v>
      </c>
      <c r="V743" s="56">
        <v>0</v>
      </c>
      <c r="W743" s="56">
        <v>0</v>
      </c>
      <c r="X743" s="56">
        <v>0</v>
      </c>
      <c r="Y743" s="56">
        <v>0</v>
      </c>
      <c r="Z743" s="56">
        <v>0</v>
      </c>
      <c r="AA743" s="56">
        <v>224</v>
      </c>
      <c r="AB743" s="56">
        <v>0</v>
      </c>
      <c r="AC743" s="56">
        <v>0</v>
      </c>
    </row>
    <row r="744" spans="1:29" s="4" customFormat="1" ht="30" customHeight="1" x14ac:dyDescent="0.3">
      <c r="A744" s="152" t="s">
        <v>947</v>
      </c>
      <c r="B744" s="153" t="s">
        <v>948</v>
      </c>
      <c r="C744" s="154" t="s">
        <v>69</v>
      </c>
      <c r="D744" s="154" t="s">
        <v>70</v>
      </c>
      <c r="E744" s="154" t="s">
        <v>69</v>
      </c>
      <c r="F744" s="154" t="s">
        <v>71</v>
      </c>
      <c r="G744" s="154" t="s">
        <v>949</v>
      </c>
      <c r="H744" s="154" t="s">
        <v>950</v>
      </c>
      <c r="I744" s="155" t="s">
        <v>847</v>
      </c>
      <c r="J744" s="156" t="s">
        <v>964</v>
      </c>
      <c r="K744" s="156" t="s">
        <v>379</v>
      </c>
      <c r="L744" s="157" t="s">
        <v>379</v>
      </c>
      <c r="M744" s="141" t="s">
        <v>55</v>
      </c>
      <c r="N744" s="156">
        <v>4</v>
      </c>
      <c r="O744" s="158">
        <v>60</v>
      </c>
      <c r="P744" s="158" t="s">
        <v>952</v>
      </c>
      <c r="Q744" s="159">
        <v>240</v>
      </c>
      <c r="R744" s="154">
        <v>0</v>
      </c>
      <c r="S744" s="160">
        <v>240</v>
      </c>
      <c r="T744" s="56">
        <v>0</v>
      </c>
      <c r="U744" s="56">
        <v>0</v>
      </c>
      <c r="V744" s="56">
        <v>0</v>
      </c>
      <c r="W744" s="56">
        <v>0</v>
      </c>
      <c r="X744" s="56">
        <v>0</v>
      </c>
      <c r="Y744" s="56">
        <v>0</v>
      </c>
      <c r="Z744" s="56">
        <v>0</v>
      </c>
      <c r="AA744" s="56">
        <v>0</v>
      </c>
      <c r="AB744" s="56">
        <v>0</v>
      </c>
      <c r="AC744" s="56">
        <v>0</v>
      </c>
    </row>
    <row r="745" spans="1:29" s="4" customFormat="1" ht="30" customHeight="1" x14ac:dyDescent="0.3">
      <c r="A745" s="152" t="s">
        <v>947</v>
      </c>
      <c r="B745" s="153" t="s">
        <v>948</v>
      </c>
      <c r="C745" s="154" t="s">
        <v>69</v>
      </c>
      <c r="D745" s="154" t="s">
        <v>70</v>
      </c>
      <c r="E745" s="154" t="s">
        <v>69</v>
      </c>
      <c r="F745" s="154" t="s">
        <v>71</v>
      </c>
      <c r="G745" s="154" t="s">
        <v>949</v>
      </c>
      <c r="H745" s="154" t="s">
        <v>950</v>
      </c>
      <c r="I745" s="155" t="s">
        <v>250</v>
      </c>
      <c r="J745" s="156" t="s">
        <v>41</v>
      </c>
      <c r="K745" s="156" t="s">
        <v>379</v>
      </c>
      <c r="L745" s="157" t="s">
        <v>379</v>
      </c>
      <c r="M745" s="141" t="s">
        <v>383</v>
      </c>
      <c r="N745" s="156">
        <v>4</v>
      </c>
      <c r="O745" s="158">
        <v>16</v>
      </c>
      <c r="P745" s="158" t="s">
        <v>952</v>
      </c>
      <c r="Q745" s="159">
        <v>64</v>
      </c>
      <c r="R745" s="154">
        <v>0</v>
      </c>
      <c r="S745" s="160">
        <v>48</v>
      </c>
      <c r="T745" s="56">
        <v>0</v>
      </c>
      <c r="U745" s="56">
        <v>0</v>
      </c>
      <c r="V745" s="56">
        <v>0</v>
      </c>
      <c r="W745" s="56">
        <v>0</v>
      </c>
      <c r="X745" s="56">
        <v>0</v>
      </c>
      <c r="Y745" s="56">
        <v>0</v>
      </c>
      <c r="Z745" s="56">
        <v>0</v>
      </c>
      <c r="AA745" s="56">
        <v>0</v>
      </c>
      <c r="AB745" s="56">
        <v>16</v>
      </c>
      <c r="AC745" s="56">
        <v>0</v>
      </c>
    </row>
    <row r="746" spans="1:29" s="4" customFormat="1" ht="30" customHeight="1" x14ac:dyDescent="0.3">
      <c r="A746" s="152" t="s">
        <v>947</v>
      </c>
      <c r="B746" s="153" t="s">
        <v>948</v>
      </c>
      <c r="C746" s="154" t="s">
        <v>69</v>
      </c>
      <c r="D746" s="154" t="s">
        <v>70</v>
      </c>
      <c r="E746" s="154" t="s">
        <v>69</v>
      </c>
      <c r="F746" s="154" t="s">
        <v>71</v>
      </c>
      <c r="G746" s="154" t="s">
        <v>949</v>
      </c>
      <c r="H746" s="154" t="s">
        <v>950</v>
      </c>
      <c r="I746" s="155" t="s">
        <v>256</v>
      </c>
      <c r="J746" s="156" t="s">
        <v>82</v>
      </c>
      <c r="K746" s="156" t="s">
        <v>379</v>
      </c>
      <c r="L746" s="157" t="s">
        <v>379</v>
      </c>
      <c r="M746" s="141" t="s">
        <v>383</v>
      </c>
      <c r="N746" s="156">
        <v>12</v>
      </c>
      <c r="O746" s="158">
        <v>28</v>
      </c>
      <c r="P746" s="158" t="s">
        <v>952</v>
      </c>
      <c r="Q746" s="159">
        <v>336</v>
      </c>
      <c r="R746" s="154">
        <v>0</v>
      </c>
      <c r="S746" s="160">
        <v>0</v>
      </c>
      <c r="T746" s="56">
        <v>0</v>
      </c>
      <c r="U746" s="56">
        <v>0</v>
      </c>
      <c r="V746" s="56">
        <v>0</v>
      </c>
      <c r="W746" s="56">
        <v>0</v>
      </c>
      <c r="X746" s="56">
        <v>0</v>
      </c>
      <c r="Y746" s="56">
        <v>0</v>
      </c>
      <c r="Z746" s="56">
        <v>0</v>
      </c>
      <c r="AA746" s="56">
        <v>0</v>
      </c>
      <c r="AB746" s="56">
        <v>336</v>
      </c>
      <c r="AC746" s="56">
        <v>0</v>
      </c>
    </row>
    <row r="747" spans="1:29" s="4" customFormat="1" ht="30" customHeight="1" x14ac:dyDescent="0.3">
      <c r="A747" s="152" t="s">
        <v>947</v>
      </c>
      <c r="B747" s="153" t="s">
        <v>948</v>
      </c>
      <c r="C747" s="154" t="s">
        <v>69</v>
      </c>
      <c r="D747" s="154" t="s">
        <v>70</v>
      </c>
      <c r="E747" s="154" t="s">
        <v>69</v>
      </c>
      <c r="F747" s="154" t="s">
        <v>71</v>
      </c>
      <c r="G747" s="154" t="s">
        <v>949</v>
      </c>
      <c r="H747" s="154" t="s">
        <v>950</v>
      </c>
      <c r="I747" s="155" t="s">
        <v>395</v>
      </c>
      <c r="J747" s="156" t="s">
        <v>44</v>
      </c>
      <c r="K747" s="156" t="s">
        <v>379</v>
      </c>
      <c r="L747" s="157" t="s">
        <v>379</v>
      </c>
      <c r="M747" s="141" t="s">
        <v>383</v>
      </c>
      <c r="N747" s="156">
        <v>6</v>
      </c>
      <c r="O747" s="158">
        <v>114</v>
      </c>
      <c r="P747" s="158" t="s">
        <v>952</v>
      </c>
      <c r="Q747" s="159">
        <v>684</v>
      </c>
      <c r="R747" s="154">
        <v>0</v>
      </c>
      <c r="S747" s="160">
        <v>0</v>
      </c>
      <c r="T747" s="56">
        <v>0</v>
      </c>
      <c r="U747" s="56">
        <v>0</v>
      </c>
      <c r="V747" s="56">
        <v>0</v>
      </c>
      <c r="W747" s="56">
        <v>0</v>
      </c>
      <c r="X747" s="56">
        <v>0</v>
      </c>
      <c r="Y747" s="56">
        <v>0</v>
      </c>
      <c r="Z747" s="56">
        <v>684</v>
      </c>
      <c r="AA747" s="56">
        <v>0</v>
      </c>
      <c r="AB747" s="56">
        <v>0</v>
      </c>
      <c r="AC747" s="56">
        <v>0</v>
      </c>
    </row>
    <row r="748" spans="1:29" s="4" customFormat="1" ht="30" customHeight="1" x14ac:dyDescent="0.3">
      <c r="A748" s="152" t="s">
        <v>947</v>
      </c>
      <c r="B748" s="153" t="s">
        <v>948</v>
      </c>
      <c r="C748" s="154" t="s">
        <v>69</v>
      </c>
      <c r="D748" s="154" t="s">
        <v>70</v>
      </c>
      <c r="E748" s="154" t="s">
        <v>69</v>
      </c>
      <c r="F748" s="154" t="s">
        <v>71</v>
      </c>
      <c r="G748" s="154" t="s">
        <v>949</v>
      </c>
      <c r="H748" s="154" t="s">
        <v>950</v>
      </c>
      <c r="I748" s="155" t="s">
        <v>311</v>
      </c>
      <c r="J748" s="156" t="s">
        <v>45</v>
      </c>
      <c r="K748" s="156" t="s">
        <v>379</v>
      </c>
      <c r="L748" s="157" t="s">
        <v>379</v>
      </c>
      <c r="M748" s="141" t="s">
        <v>383</v>
      </c>
      <c r="N748" s="156">
        <v>12</v>
      </c>
      <c r="O748" s="158">
        <v>12</v>
      </c>
      <c r="P748" s="158" t="s">
        <v>952</v>
      </c>
      <c r="Q748" s="159">
        <v>144</v>
      </c>
      <c r="R748" s="154">
        <v>0</v>
      </c>
      <c r="S748" s="160">
        <v>0</v>
      </c>
      <c r="T748" s="56">
        <v>0</v>
      </c>
      <c r="U748" s="56">
        <v>0</v>
      </c>
      <c r="V748" s="56">
        <v>0</v>
      </c>
      <c r="W748" s="56">
        <v>0</v>
      </c>
      <c r="X748" s="56">
        <v>0</v>
      </c>
      <c r="Y748" s="56">
        <v>0</v>
      </c>
      <c r="Z748" s="56">
        <v>0</v>
      </c>
      <c r="AA748" s="56">
        <v>0</v>
      </c>
      <c r="AB748" s="56">
        <v>144</v>
      </c>
      <c r="AC748" s="56">
        <v>0</v>
      </c>
    </row>
    <row r="749" spans="1:29" s="4" customFormat="1" ht="30" customHeight="1" x14ac:dyDescent="0.3">
      <c r="A749" s="152" t="s">
        <v>947</v>
      </c>
      <c r="B749" s="153" t="s">
        <v>948</v>
      </c>
      <c r="C749" s="154" t="s">
        <v>69</v>
      </c>
      <c r="D749" s="154" t="s">
        <v>70</v>
      </c>
      <c r="E749" s="154" t="s">
        <v>69</v>
      </c>
      <c r="F749" s="154" t="s">
        <v>71</v>
      </c>
      <c r="G749" s="154" t="s">
        <v>949</v>
      </c>
      <c r="H749" s="154" t="s">
        <v>950</v>
      </c>
      <c r="I749" s="155" t="s">
        <v>309</v>
      </c>
      <c r="J749" s="156" t="s">
        <v>46</v>
      </c>
      <c r="K749" s="156" t="s">
        <v>379</v>
      </c>
      <c r="L749" s="157" t="s">
        <v>379</v>
      </c>
      <c r="M749" s="141" t="s">
        <v>55</v>
      </c>
      <c r="N749" s="156">
        <v>6</v>
      </c>
      <c r="O749" s="158">
        <v>28</v>
      </c>
      <c r="P749" s="158" t="s">
        <v>952</v>
      </c>
      <c r="Q749" s="159">
        <v>168</v>
      </c>
      <c r="R749" s="154">
        <v>0</v>
      </c>
      <c r="S749" s="160">
        <v>0</v>
      </c>
      <c r="T749" s="56">
        <v>0</v>
      </c>
      <c r="U749" s="56">
        <v>0</v>
      </c>
      <c r="V749" s="56">
        <v>0</v>
      </c>
      <c r="W749" s="56">
        <v>0</v>
      </c>
      <c r="X749" s="56">
        <v>0</v>
      </c>
      <c r="Y749" s="56">
        <v>0</v>
      </c>
      <c r="Z749" s="56">
        <v>168</v>
      </c>
      <c r="AA749" s="56">
        <v>0</v>
      </c>
      <c r="AB749" s="56">
        <v>0</v>
      </c>
      <c r="AC749" s="56">
        <v>0</v>
      </c>
    </row>
    <row r="750" spans="1:29" s="4" customFormat="1" ht="30" customHeight="1" x14ac:dyDescent="0.3">
      <c r="A750" s="152" t="s">
        <v>947</v>
      </c>
      <c r="B750" s="153" t="s">
        <v>948</v>
      </c>
      <c r="C750" s="154" t="s">
        <v>69</v>
      </c>
      <c r="D750" s="154" t="s">
        <v>70</v>
      </c>
      <c r="E750" s="154" t="s">
        <v>69</v>
      </c>
      <c r="F750" s="154" t="s">
        <v>71</v>
      </c>
      <c r="G750" s="154" t="s">
        <v>949</v>
      </c>
      <c r="H750" s="154" t="s">
        <v>950</v>
      </c>
      <c r="I750" s="155" t="s">
        <v>464</v>
      </c>
      <c r="J750" s="156" t="s">
        <v>965</v>
      </c>
      <c r="K750" s="156" t="s">
        <v>379</v>
      </c>
      <c r="L750" s="157" t="s">
        <v>379</v>
      </c>
      <c r="M750" s="141" t="s">
        <v>55</v>
      </c>
      <c r="N750" s="156">
        <v>6</v>
      </c>
      <c r="O750" s="158">
        <v>16</v>
      </c>
      <c r="P750" s="158" t="s">
        <v>952</v>
      </c>
      <c r="Q750" s="159">
        <v>96</v>
      </c>
      <c r="R750" s="154">
        <v>0</v>
      </c>
      <c r="S750" s="160">
        <v>0</v>
      </c>
      <c r="T750" s="56">
        <v>0</v>
      </c>
      <c r="U750" s="56">
        <v>0</v>
      </c>
      <c r="V750" s="56">
        <v>0</v>
      </c>
      <c r="W750" s="56">
        <v>0</v>
      </c>
      <c r="X750" s="56">
        <v>0</v>
      </c>
      <c r="Y750" s="56">
        <v>0</v>
      </c>
      <c r="Z750" s="56">
        <v>16</v>
      </c>
      <c r="AA750" s="56">
        <v>16</v>
      </c>
      <c r="AB750" s="56">
        <v>64</v>
      </c>
      <c r="AC750" s="56">
        <v>0</v>
      </c>
    </row>
    <row r="751" spans="1:29" s="4" customFormat="1" ht="30" customHeight="1" x14ac:dyDescent="0.3">
      <c r="A751" s="152" t="s">
        <v>947</v>
      </c>
      <c r="B751" s="153" t="s">
        <v>948</v>
      </c>
      <c r="C751" s="154" t="s">
        <v>69</v>
      </c>
      <c r="D751" s="154" t="s">
        <v>70</v>
      </c>
      <c r="E751" s="154" t="s">
        <v>69</v>
      </c>
      <c r="F751" s="154" t="s">
        <v>71</v>
      </c>
      <c r="G751" s="154" t="s">
        <v>949</v>
      </c>
      <c r="H751" s="154" t="s">
        <v>950</v>
      </c>
      <c r="I751" s="155" t="s">
        <v>966</v>
      </c>
      <c r="J751" s="156" t="s">
        <v>967</v>
      </c>
      <c r="K751" s="156" t="s">
        <v>379</v>
      </c>
      <c r="L751" s="157" t="s">
        <v>379</v>
      </c>
      <c r="M751" s="141" t="s">
        <v>383</v>
      </c>
      <c r="N751" s="156">
        <v>5</v>
      </c>
      <c r="O751" s="158">
        <v>5</v>
      </c>
      <c r="P751" s="158" t="s">
        <v>952</v>
      </c>
      <c r="Q751" s="159">
        <v>25</v>
      </c>
      <c r="R751" s="154">
        <v>0</v>
      </c>
      <c r="S751" s="160">
        <v>0</v>
      </c>
      <c r="T751" s="56">
        <v>0</v>
      </c>
      <c r="U751" s="56">
        <v>0</v>
      </c>
      <c r="V751" s="56">
        <v>0</v>
      </c>
      <c r="W751" s="56">
        <v>0</v>
      </c>
      <c r="X751" s="56">
        <v>0</v>
      </c>
      <c r="Y751" s="56">
        <v>0</v>
      </c>
      <c r="Z751" s="56">
        <v>0</v>
      </c>
      <c r="AA751" s="56">
        <v>25</v>
      </c>
      <c r="AB751" s="56">
        <v>0</v>
      </c>
      <c r="AC751" s="56">
        <v>0</v>
      </c>
    </row>
    <row r="752" spans="1:29" s="4" customFormat="1" ht="30" customHeight="1" x14ac:dyDescent="0.3">
      <c r="A752" s="152" t="s">
        <v>947</v>
      </c>
      <c r="B752" s="153" t="s">
        <v>948</v>
      </c>
      <c r="C752" s="154" t="s">
        <v>69</v>
      </c>
      <c r="D752" s="154" t="s">
        <v>70</v>
      </c>
      <c r="E752" s="154" t="s">
        <v>69</v>
      </c>
      <c r="F752" s="154" t="s">
        <v>71</v>
      </c>
      <c r="G752" s="154" t="s">
        <v>949</v>
      </c>
      <c r="H752" s="154" t="s">
        <v>950</v>
      </c>
      <c r="I752" s="155" t="s">
        <v>968</v>
      </c>
      <c r="J752" s="156" t="s">
        <v>969</v>
      </c>
      <c r="K752" s="156" t="s">
        <v>379</v>
      </c>
      <c r="L752" s="157" t="s">
        <v>379</v>
      </c>
      <c r="M752" s="141" t="s">
        <v>58</v>
      </c>
      <c r="N752" s="156">
        <v>10</v>
      </c>
      <c r="O752" s="158">
        <v>28</v>
      </c>
      <c r="P752" s="158" t="s">
        <v>952</v>
      </c>
      <c r="Q752" s="159">
        <v>280</v>
      </c>
      <c r="R752" s="154">
        <v>0</v>
      </c>
      <c r="S752" s="160">
        <v>224</v>
      </c>
      <c r="T752" s="56">
        <v>0</v>
      </c>
      <c r="U752" s="56">
        <v>0</v>
      </c>
      <c r="V752" s="56">
        <v>0</v>
      </c>
      <c r="W752" s="56">
        <v>0</v>
      </c>
      <c r="X752" s="56">
        <v>0</v>
      </c>
      <c r="Y752" s="56">
        <v>0</v>
      </c>
      <c r="Z752" s="56">
        <v>0</v>
      </c>
      <c r="AA752" s="56">
        <v>0</v>
      </c>
      <c r="AB752" s="56">
        <v>56</v>
      </c>
      <c r="AC752" s="56">
        <v>0</v>
      </c>
    </row>
    <row r="753" spans="1:29" s="4" customFormat="1" ht="30" customHeight="1" x14ac:dyDescent="0.3">
      <c r="A753" s="152" t="s">
        <v>947</v>
      </c>
      <c r="B753" s="153" t="s">
        <v>948</v>
      </c>
      <c r="C753" s="154" t="s">
        <v>69</v>
      </c>
      <c r="D753" s="154" t="s">
        <v>70</v>
      </c>
      <c r="E753" s="154" t="s">
        <v>69</v>
      </c>
      <c r="F753" s="154" t="s">
        <v>71</v>
      </c>
      <c r="G753" s="154" t="s">
        <v>949</v>
      </c>
      <c r="H753" s="154" t="s">
        <v>950</v>
      </c>
      <c r="I753" s="155" t="s">
        <v>501</v>
      </c>
      <c r="J753" s="156" t="s">
        <v>502</v>
      </c>
      <c r="K753" s="156" t="s">
        <v>379</v>
      </c>
      <c r="L753" s="157" t="s">
        <v>379</v>
      </c>
      <c r="M753" s="141" t="s">
        <v>55</v>
      </c>
      <c r="N753" s="156">
        <v>17</v>
      </c>
      <c r="O753" s="158">
        <v>1264</v>
      </c>
      <c r="P753" s="158" t="s">
        <v>952</v>
      </c>
      <c r="Q753" s="159">
        <v>21488</v>
      </c>
      <c r="R753" s="154">
        <v>0</v>
      </c>
      <c r="S753" s="160">
        <v>7584</v>
      </c>
      <c r="T753" s="56">
        <v>0</v>
      </c>
      <c r="U753" s="56">
        <v>0</v>
      </c>
      <c r="V753" s="56">
        <v>0</v>
      </c>
      <c r="W753" s="56">
        <v>1264</v>
      </c>
      <c r="X753" s="56">
        <v>0</v>
      </c>
      <c r="Y753" s="56">
        <v>0</v>
      </c>
      <c r="Z753" s="56">
        <v>2528</v>
      </c>
      <c r="AA753" s="56">
        <v>0</v>
      </c>
      <c r="AB753" s="56">
        <v>10112</v>
      </c>
      <c r="AC753" s="56">
        <v>0</v>
      </c>
    </row>
    <row r="754" spans="1:29" s="4" customFormat="1" ht="30" customHeight="1" x14ac:dyDescent="0.3">
      <c r="A754" s="152" t="s">
        <v>947</v>
      </c>
      <c r="B754" s="153" t="s">
        <v>948</v>
      </c>
      <c r="C754" s="154" t="s">
        <v>69</v>
      </c>
      <c r="D754" s="154" t="s">
        <v>70</v>
      </c>
      <c r="E754" s="154" t="s">
        <v>69</v>
      </c>
      <c r="F754" s="154" t="s">
        <v>71</v>
      </c>
      <c r="G754" s="154" t="s">
        <v>949</v>
      </c>
      <c r="H754" s="154" t="s">
        <v>950</v>
      </c>
      <c r="I754" s="155" t="s">
        <v>868</v>
      </c>
      <c r="J754" s="156" t="s">
        <v>869</v>
      </c>
      <c r="K754" s="156" t="s">
        <v>379</v>
      </c>
      <c r="L754" s="157" t="s">
        <v>379</v>
      </c>
      <c r="M754" s="141" t="s">
        <v>55</v>
      </c>
      <c r="N754" s="156">
        <v>7</v>
      </c>
      <c r="O754" s="158">
        <v>1676</v>
      </c>
      <c r="P754" s="158" t="s">
        <v>952</v>
      </c>
      <c r="Q754" s="159">
        <v>11732</v>
      </c>
      <c r="R754" s="154">
        <v>0</v>
      </c>
      <c r="S754" s="160">
        <v>5028</v>
      </c>
      <c r="T754" s="56">
        <v>0</v>
      </c>
      <c r="U754" s="56">
        <v>0</v>
      </c>
      <c r="V754" s="56">
        <v>0</v>
      </c>
      <c r="W754" s="56">
        <v>5028</v>
      </c>
      <c r="X754" s="56">
        <v>0</v>
      </c>
      <c r="Y754" s="56">
        <v>0</v>
      </c>
      <c r="Z754" s="56">
        <v>1676</v>
      </c>
      <c r="AA754" s="56">
        <v>0</v>
      </c>
      <c r="AB754" s="56">
        <v>0</v>
      </c>
      <c r="AC754" s="56">
        <v>0</v>
      </c>
    </row>
    <row r="755" spans="1:29" s="4" customFormat="1" ht="30" customHeight="1" x14ac:dyDescent="0.3">
      <c r="A755" s="152" t="s">
        <v>947</v>
      </c>
      <c r="B755" s="153" t="s">
        <v>948</v>
      </c>
      <c r="C755" s="154" t="s">
        <v>69</v>
      </c>
      <c r="D755" s="154" t="s">
        <v>70</v>
      </c>
      <c r="E755" s="154" t="s">
        <v>69</v>
      </c>
      <c r="F755" s="154" t="s">
        <v>71</v>
      </c>
      <c r="G755" s="154" t="s">
        <v>949</v>
      </c>
      <c r="H755" s="154" t="s">
        <v>950</v>
      </c>
      <c r="I755" s="155" t="s">
        <v>575</v>
      </c>
      <c r="J755" s="156" t="s">
        <v>576</v>
      </c>
      <c r="K755" s="156" t="s">
        <v>379</v>
      </c>
      <c r="L755" s="157" t="s">
        <v>379</v>
      </c>
      <c r="M755" s="141" t="s">
        <v>383</v>
      </c>
      <c r="N755" s="156">
        <v>4</v>
      </c>
      <c r="O755" s="158">
        <v>48</v>
      </c>
      <c r="P755" s="158" t="s">
        <v>952</v>
      </c>
      <c r="Q755" s="159">
        <v>192</v>
      </c>
      <c r="R755" s="154">
        <v>0</v>
      </c>
      <c r="S755" s="160">
        <v>0</v>
      </c>
      <c r="T755" s="56">
        <v>0</v>
      </c>
      <c r="U755" s="56">
        <v>0</v>
      </c>
      <c r="V755" s="56">
        <v>0</v>
      </c>
      <c r="W755" s="56">
        <v>48</v>
      </c>
      <c r="X755" s="56">
        <v>0</v>
      </c>
      <c r="Y755" s="56">
        <v>0</v>
      </c>
      <c r="Z755" s="56">
        <v>48</v>
      </c>
      <c r="AA755" s="56">
        <v>0</v>
      </c>
      <c r="AB755" s="56">
        <v>96</v>
      </c>
      <c r="AC755" s="56">
        <v>0</v>
      </c>
    </row>
    <row r="756" spans="1:29" s="4" customFormat="1" ht="30" customHeight="1" x14ac:dyDescent="0.3">
      <c r="A756" s="152" t="s">
        <v>947</v>
      </c>
      <c r="B756" s="153" t="s">
        <v>948</v>
      </c>
      <c r="C756" s="154" t="s">
        <v>69</v>
      </c>
      <c r="D756" s="154" t="s">
        <v>70</v>
      </c>
      <c r="E756" s="154" t="s">
        <v>69</v>
      </c>
      <c r="F756" s="154" t="s">
        <v>71</v>
      </c>
      <c r="G756" s="154" t="s">
        <v>949</v>
      </c>
      <c r="H756" s="154" t="s">
        <v>950</v>
      </c>
      <c r="I756" s="155" t="s">
        <v>392</v>
      </c>
      <c r="J756" s="156" t="s">
        <v>886</v>
      </c>
      <c r="K756" s="156" t="s">
        <v>379</v>
      </c>
      <c r="L756" s="157" t="s">
        <v>379</v>
      </c>
      <c r="M756" s="141" t="s">
        <v>56</v>
      </c>
      <c r="N756" s="156">
        <v>2</v>
      </c>
      <c r="O756" s="158">
        <v>199</v>
      </c>
      <c r="P756" s="158" t="s">
        <v>952</v>
      </c>
      <c r="Q756" s="159">
        <v>398</v>
      </c>
      <c r="R756" s="154">
        <v>0</v>
      </c>
      <c r="S756" s="160">
        <v>199</v>
      </c>
      <c r="T756" s="56">
        <v>0</v>
      </c>
      <c r="U756" s="56">
        <v>0</v>
      </c>
      <c r="V756" s="56">
        <v>0</v>
      </c>
      <c r="W756" s="56">
        <v>0</v>
      </c>
      <c r="X756" s="56">
        <v>0</v>
      </c>
      <c r="Y756" s="56">
        <v>0</v>
      </c>
      <c r="Z756" s="56">
        <v>0</v>
      </c>
      <c r="AA756" s="56">
        <v>0</v>
      </c>
      <c r="AB756" s="56">
        <v>199</v>
      </c>
      <c r="AC756" s="56">
        <v>0</v>
      </c>
    </row>
    <row r="757" spans="1:29" s="4" customFormat="1" ht="30" customHeight="1" x14ac:dyDescent="0.3">
      <c r="A757" s="152" t="s">
        <v>947</v>
      </c>
      <c r="B757" s="153" t="s">
        <v>948</v>
      </c>
      <c r="C757" s="154" t="s">
        <v>69</v>
      </c>
      <c r="D757" s="154" t="s">
        <v>70</v>
      </c>
      <c r="E757" s="154" t="s">
        <v>69</v>
      </c>
      <c r="F757" s="154" t="s">
        <v>71</v>
      </c>
      <c r="G757" s="154" t="s">
        <v>949</v>
      </c>
      <c r="H757" s="154" t="s">
        <v>950</v>
      </c>
      <c r="I757" s="155" t="s">
        <v>884</v>
      </c>
      <c r="J757" s="156" t="s">
        <v>885</v>
      </c>
      <c r="K757" s="156" t="s">
        <v>379</v>
      </c>
      <c r="L757" s="157" t="s">
        <v>379</v>
      </c>
      <c r="M757" s="141" t="s">
        <v>56</v>
      </c>
      <c r="N757" s="156">
        <v>3</v>
      </c>
      <c r="O757" s="158">
        <v>102.00000000000001</v>
      </c>
      <c r="P757" s="158" t="s">
        <v>952</v>
      </c>
      <c r="Q757" s="159">
        <v>306</v>
      </c>
      <c r="R757" s="154">
        <v>0</v>
      </c>
      <c r="S757" s="160">
        <v>0</v>
      </c>
      <c r="T757" s="56">
        <v>0</v>
      </c>
      <c r="U757" s="56">
        <v>0</v>
      </c>
      <c r="V757" s="56">
        <v>0</v>
      </c>
      <c r="W757" s="56">
        <v>102.00000000000001</v>
      </c>
      <c r="X757" s="56">
        <v>0</v>
      </c>
      <c r="Y757" s="56">
        <v>0</v>
      </c>
      <c r="Z757" s="56">
        <v>0</v>
      </c>
      <c r="AA757" s="56">
        <v>0</v>
      </c>
      <c r="AB757" s="56">
        <v>204.00000000000003</v>
      </c>
      <c r="AC757" s="56">
        <v>0</v>
      </c>
    </row>
    <row r="758" spans="1:29" s="4" customFormat="1" ht="30" customHeight="1" x14ac:dyDescent="0.3">
      <c r="A758" s="152" t="s">
        <v>947</v>
      </c>
      <c r="B758" s="153" t="s">
        <v>948</v>
      </c>
      <c r="C758" s="154" t="s">
        <v>69</v>
      </c>
      <c r="D758" s="154" t="s">
        <v>70</v>
      </c>
      <c r="E758" s="154" t="s">
        <v>69</v>
      </c>
      <c r="F758" s="154" t="s">
        <v>71</v>
      </c>
      <c r="G758" s="154" t="s">
        <v>949</v>
      </c>
      <c r="H758" s="154" t="s">
        <v>950</v>
      </c>
      <c r="I758" s="155" t="s">
        <v>531</v>
      </c>
      <c r="J758" s="156" t="s">
        <v>532</v>
      </c>
      <c r="K758" s="156" t="s">
        <v>379</v>
      </c>
      <c r="L758" s="157" t="s">
        <v>379</v>
      </c>
      <c r="M758" s="141" t="s">
        <v>383</v>
      </c>
      <c r="N758" s="156">
        <v>18</v>
      </c>
      <c r="O758" s="158">
        <v>4</v>
      </c>
      <c r="P758" s="158" t="s">
        <v>952</v>
      </c>
      <c r="Q758" s="159">
        <v>72</v>
      </c>
      <c r="R758" s="154">
        <v>0</v>
      </c>
      <c r="S758" s="160">
        <v>0</v>
      </c>
      <c r="T758" s="56">
        <v>0</v>
      </c>
      <c r="U758" s="56">
        <v>0</v>
      </c>
      <c r="V758" s="56">
        <v>0</v>
      </c>
      <c r="W758" s="56">
        <v>20</v>
      </c>
      <c r="X758" s="56">
        <v>0</v>
      </c>
      <c r="Y758" s="56">
        <v>0</v>
      </c>
      <c r="Z758" s="56">
        <v>8</v>
      </c>
      <c r="AA758" s="56">
        <v>36</v>
      </c>
      <c r="AB758" s="56">
        <v>8</v>
      </c>
      <c r="AC758" s="56">
        <v>0</v>
      </c>
    </row>
    <row r="759" spans="1:29" s="4" customFormat="1" ht="30" customHeight="1" x14ac:dyDescent="0.3">
      <c r="A759" s="152" t="s">
        <v>947</v>
      </c>
      <c r="B759" s="153" t="s">
        <v>948</v>
      </c>
      <c r="C759" s="154" t="s">
        <v>69</v>
      </c>
      <c r="D759" s="154" t="s">
        <v>70</v>
      </c>
      <c r="E759" s="154" t="s">
        <v>69</v>
      </c>
      <c r="F759" s="154" t="s">
        <v>71</v>
      </c>
      <c r="G759" s="154" t="s">
        <v>949</v>
      </c>
      <c r="H759" s="154" t="s">
        <v>950</v>
      </c>
      <c r="I759" s="155" t="s">
        <v>274</v>
      </c>
      <c r="J759" s="156" t="s">
        <v>53</v>
      </c>
      <c r="K759" s="156" t="s">
        <v>379</v>
      </c>
      <c r="L759" s="157" t="s">
        <v>379</v>
      </c>
      <c r="M759" s="141" t="s">
        <v>383</v>
      </c>
      <c r="N759" s="156">
        <v>40</v>
      </c>
      <c r="O759" s="158">
        <v>3</v>
      </c>
      <c r="P759" s="158" t="s">
        <v>952</v>
      </c>
      <c r="Q759" s="159">
        <v>120</v>
      </c>
      <c r="R759" s="154">
        <v>0</v>
      </c>
      <c r="S759" s="160">
        <v>0</v>
      </c>
      <c r="T759" s="56">
        <v>0</v>
      </c>
      <c r="U759" s="56">
        <v>0</v>
      </c>
      <c r="V759" s="56">
        <v>0</v>
      </c>
      <c r="W759" s="56">
        <v>39</v>
      </c>
      <c r="X759" s="56">
        <v>0</v>
      </c>
      <c r="Y759" s="56">
        <v>0</v>
      </c>
      <c r="Z759" s="56">
        <v>0</v>
      </c>
      <c r="AA759" s="56">
        <v>72</v>
      </c>
      <c r="AB759" s="56">
        <v>9</v>
      </c>
      <c r="AC759" s="56">
        <v>0</v>
      </c>
    </row>
    <row r="760" spans="1:29" s="4" customFormat="1" ht="30" customHeight="1" x14ac:dyDescent="0.3">
      <c r="A760" s="152" t="s">
        <v>947</v>
      </c>
      <c r="B760" s="153" t="s">
        <v>948</v>
      </c>
      <c r="C760" s="154" t="s">
        <v>69</v>
      </c>
      <c r="D760" s="154" t="s">
        <v>70</v>
      </c>
      <c r="E760" s="154" t="s">
        <v>69</v>
      </c>
      <c r="F760" s="154" t="s">
        <v>71</v>
      </c>
      <c r="G760" s="154">
        <v>21401</v>
      </c>
      <c r="H760" s="154" t="s">
        <v>533</v>
      </c>
      <c r="I760" s="155" t="s">
        <v>580</v>
      </c>
      <c r="J760" s="156" t="s">
        <v>581</v>
      </c>
      <c r="K760" s="156" t="s">
        <v>379</v>
      </c>
      <c r="L760" s="157" t="s">
        <v>379</v>
      </c>
      <c r="M760" s="141" t="s">
        <v>383</v>
      </c>
      <c r="N760" s="156">
        <v>2</v>
      </c>
      <c r="O760" s="158">
        <v>13982.000000000002</v>
      </c>
      <c r="P760" s="158" t="s">
        <v>952</v>
      </c>
      <c r="Q760" s="159">
        <v>27964</v>
      </c>
      <c r="R760" s="154">
        <v>0</v>
      </c>
      <c r="S760" s="160">
        <v>0</v>
      </c>
      <c r="T760" s="56">
        <v>0</v>
      </c>
      <c r="U760" s="56">
        <v>13982.000000000002</v>
      </c>
      <c r="V760" s="56">
        <v>0</v>
      </c>
      <c r="W760" s="56">
        <v>0</v>
      </c>
      <c r="X760" s="56">
        <v>0</v>
      </c>
      <c r="Y760" s="56">
        <v>0</v>
      </c>
      <c r="Z760" s="56"/>
      <c r="AA760" s="56">
        <v>13982.000000000002</v>
      </c>
      <c r="AB760" s="56">
        <v>0</v>
      </c>
      <c r="AC760" s="56">
        <v>0</v>
      </c>
    </row>
    <row r="761" spans="1:29" s="4" customFormat="1" ht="30" customHeight="1" x14ac:dyDescent="0.3">
      <c r="A761" s="152" t="s">
        <v>947</v>
      </c>
      <c r="B761" s="153" t="s">
        <v>948</v>
      </c>
      <c r="C761" s="154" t="s">
        <v>69</v>
      </c>
      <c r="D761" s="154" t="s">
        <v>70</v>
      </c>
      <c r="E761" s="154" t="s">
        <v>69</v>
      </c>
      <c r="F761" s="154" t="s">
        <v>71</v>
      </c>
      <c r="G761" s="154">
        <v>21401</v>
      </c>
      <c r="H761" s="154" t="s">
        <v>533</v>
      </c>
      <c r="I761" s="155" t="s">
        <v>970</v>
      </c>
      <c r="J761" s="156" t="s">
        <v>971</v>
      </c>
      <c r="K761" s="156" t="s">
        <v>379</v>
      </c>
      <c r="L761" s="157" t="s">
        <v>379</v>
      </c>
      <c r="M761" s="141" t="s">
        <v>56</v>
      </c>
      <c r="N761" s="156">
        <v>2</v>
      </c>
      <c r="O761" s="158">
        <v>892.00000000000011</v>
      </c>
      <c r="P761" s="158" t="s">
        <v>952</v>
      </c>
      <c r="Q761" s="159">
        <v>1784</v>
      </c>
      <c r="R761" s="154">
        <v>0</v>
      </c>
      <c r="S761" s="160">
        <v>0</v>
      </c>
      <c r="T761" s="56">
        <v>0</v>
      </c>
      <c r="U761" s="56">
        <v>892.00000000000011</v>
      </c>
      <c r="V761" s="56">
        <v>0</v>
      </c>
      <c r="W761" s="56">
        <v>0</v>
      </c>
      <c r="X761" s="56">
        <v>0</v>
      </c>
      <c r="Y761" s="56">
        <v>0</v>
      </c>
      <c r="Z761" s="56"/>
      <c r="AA761" s="56">
        <v>892.00000000000011</v>
      </c>
      <c r="AB761" s="56">
        <v>0</v>
      </c>
      <c r="AC761" s="56">
        <v>0</v>
      </c>
    </row>
    <row r="762" spans="1:29" s="4" customFormat="1" ht="30" customHeight="1" x14ac:dyDescent="0.3">
      <c r="A762" s="152" t="s">
        <v>947</v>
      </c>
      <c r="B762" s="153" t="s">
        <v>948</v>
      </c>
      <c r="C762" s="154" t="s">
        <v>69</v>
      </c>
      <c r="D762" s="154" t="s">
        <v>70</v>
      </c>
      <c r="E762" s="154" t="s">
        <v>69</v>
      </c>
      <c r="F762" s="154" t="s">
        <v>71</v>
      </c>
      <c r="G762" s="154">
        <v>21401</v>
      </c>
      <c r="H762" s="154" t="s">
        <v>481</v>
      </c>
      <c r="I762" s="155" t="s">
        <v>972</v>
      </c>
      <c r="J762" s="156" t="s">
        <v>973</v>
      </c>
      <c r="K762" s="156" t="s">
        <v>379</v>
      </c>
      <c r="L762" s="157" t="s">
        <v>379</v>
      </c>
      <c r="M762" s="141" t="s">
        <v>383</v>
      </c>
      <c r="N762" s="156">
        <v>4</v>
      </c>
      <c r="O762" s="158">
        <v>2154</v>
      </c>
      <c r="P762" s="158" t="s">
        <v>952</v>
      </c>
      <c r="Q762" s="159">
        <v>8616</v>
      </c>
      <c r="R762" s="154">
        <v>0</v>
      </c>
      <c r="S762" s="160">
        <v>0</v>
      </c>
      <c r="T762" s="56">
        <v>0</v>
      </c>
      <c r="U762" s="56">
        <v>4308</v>
      </c>
      <c r="V762" s="56">
        <v>0</v>
      </c>
      <c r="W762" s="56">
        <v>0</v>
      </c>
      <c r="X762" s="56">
        <v>0</v>
      </c>
      <c r="Y762" s="56">
        <v>0</v>
      </c>
      <c r="Z762" s="56"/>
      <c r="AA762" s="56">
        <v>4308</v>
      </c>
      <c r="AB762" s="56">
        <v>0</v>
      </c>
      <c r="AC762" s="56">
        <v>0</v>
      </c>
    </row>
    <row r="763" spans="1:29" s="4" customFormat="1" ht="30" customHeight="1" x14ac:dyDescent="0.3">
      <c r="A763" s="152" t="s">
        <v>947</v>
      </c>
      <c r="B763" s="153" t="s">
        <v>948</v>
      </c>
      <c r="C763" s="154" t="s">
        <v>69</v>
      </c>
      <c r="D763" s="154" t="s">
        <v>70</v>
      </c>
      <c r="E763" s="154" t="s">
        <v>69</v>
      </c>
      <c r="F763" s="154" t="s">
        <v>71</v>
      </c>
      <c r="G763" s="154">
        <v>21601</v>
      </c>
      <c r="H763" s="154" t="s">
        <v>481</v>
      </c>
      <c r="I763" s="155" t="s">
        <v>974</v>
      </c>
      <c r="J763" s="156" t="s">
        <v>975</v>
      </c>
      <c r="K763" s="156" t="s">
        <v>379</v>
      </c>
      <c r="L763" s="157" t="s">
        <v>379</v>
      </c>
      <c r="M763" s="141" t="s">
        <v>62</v>
      </c>
      <c r="N763" s="156">
        <v>26</v>
      </c>
      <c r="O763" s="158">
        <v>67</v>
      </c>
      <c r="P763" s="158" t="s">
        <v>952</v>
      </c>
      <c r="Q763" s="159">
        <v>1742</v>
      </c>
      <c r="R763" s="154">
        <v>0</v>
      </c>
      <c r="S763" s="160">
        <v>804</v>
      </c>
      <c r="T763" s="56">
        <v>0</v>
      </c>
      <c r="U763" s="56">
        <v>0</v>
      </c>
      <c r="V763" s="56">
        <v>0</v>
      </c>
      <c r="W763" s="56">
        <v>871</v>
      </c>
      <c r="X763" s="56">
        <v>0</v>
      </c>
      <c r="Y763" s="56">
        <v>0</v>
      </c>
      <c r="Z763" s="56">
        <v>0</v>
      </c>
      <c r="AA763" s="56">
        <v>0</v>
      </c>
      <c r="AB763" s="56">
        <v>67</v>
      </c>
      <c r="AC763" s="56">
        <v>0</v>
      </c>
    </row>
    <row r="764" spans="1:29" s="4" customFormat="1" ht="30" customHeight="1" x14ac:dyDescent="0.3">
      <c r="A764" s="152" t="s">
        <v>947</v>
      </c>
      <c r="B764" s="153" t="s">
        <v>948</v>
      </c>
      <c r="C764" s="154" t="s">
        <v>69</v>
      </c>
      <c r="D764" s="154" t="s">
        <v>70</v>
      </c>
      <c r="E764" s="154" t="s">
        <v>69</v>
      </c>
      <c r="F764" s="154" t="s">
        <v>71</v>
      </c>
      <c r="G764" s="154">
        <v>21601</v>
      </c>
      <c r="H764" s="154" t="s">
        <v>481</v>
      </c>
      <c r="I764" s="155" t="s">
        <v>976</v>
      </c>
      <c r="J764" s="156" t="s">
        <v>977</v>
      </c>
      <c r="K764" s="156" t="s">
        <v>379</v>
      </c>
      <c r="L764" s="157" t="s">
        <v>379</v>
      </c>
      <c r="M764" s="141" t="s">
        <v>54</v>
      </c>
      <c r="N764" s="156">
        <v>77</v>
      </c>
      <c r="O764" s="158">
        <v>18</v>
      </c>
      <c r="P764" s="158" t="s">
        <v>952</v>
      </c>
      <c r="Q764" s="159">
        <v>1386</v>
      </c>
      <c r="R764" s="154">
        <v>0</v>
      </c>
      <c r="S764" s="160">
        <v>378</v>
      </c>
      <c r="T764" s="56">
        <v>0</v>
      </c>
      <c r="U764" s="56">
        <v>0</v>
      </c>
      <c r="V764" s="56">
        <v>0</v>
      </c>
      <c r="W764" s="56">
        <v>756</v>
      </c>
      <c r="X764" s="56">
        <v>0</v>
      </c>
      <c r="Y764" s="56">
        <v>0</v>
      </c>
      <c r="Z764" s="56">
        <v>0</v>
      </c>
      <c r="AA764" s="56">
        <v>0</v>
      </c>
      <c r="AB764" s="56">
        <v>252</v>
      </c>
      <c r="AC764" s="56">
        <v>0</v>
      </c>
    </row>
    <row r="765" spans="1:29" s="4" customFormat="1" ht="30" customHeight="1" x14ac:dyDescent="0.3">
      <c r="A765" s="152" t="s">
        <v>947</v>
      </c>
      <c r="B765" s="153" t="s">
        <v>948</v>
      </c>
      <c r="C765" s="154" t="s">
        <v>69</v>
      </c>
      <c r="D765" s="154" t="s">
        <v>70</v>
      </c>
      <c r="E765" s="154" t="s">
        <v>69</v>
      </c>
      <c r="F765" s="154" t="s">
        <v>71</v>
      </c>
      <c r="G765" s="154">
        <v>21601</v>
      </c>
      <c r="H765" s="154" t="s">
        <v>481</v>
      </c>
      <c r="I765" s="155" t="s">
        <v>978</v>
      </c>
      <c r="J765" s="156" t="s">
        <v>979</v>
      </c>
      <c r="K765" s="156" t="s">
        <v>379</v>
      </c>
      <c r="L765" s="157" t="s">
        <v>379</v>
      </c>
      <c r="M765" s="141" t="s">
        <v>54</v>
      </c>
      <c r="N765" s="156">
        <v>41</v>
      </c>
      <c r="O765" s="158">
        <v>28.999999999999996</v>
      </c>
      <c r="P765" s="158" t="s">
        <v>952</v>
      </c>
      <c r="Q765" s="159">
        <v>1189</v>
      </c>
      <c r="R765" s="154">
        <v>0</v>
      </c>
      <c r="S765" s="160">
        <v>695.99999999999989</v>
      </c>
      <c r="T765" s="56">
        <v>0</v>
      </c>
      <c r="U765" s="56">
        <v>0</v>
      </c>
      <c r="V765" s="56">
        <v>0</v>
      </c>
      <c r="W765" s="56">
        <v>492.99999999999994</v>
      </c>
      <c r="X765" s="56">
        <v>0</v>
      </c>
      <c r="Y765" s="56">
        <v>0</v>
      </c>
      <c r="Z765" s="56">
        <v>0</v>
      </c>
      <c r="AA765" s="56">
        <v>0</v>
      </c>
      <c r="AB765" s="56">
        <v>0</v>
      </c>
      <c r="AC765" s="56">
        <v>0</v>
      </c>
    </row>
    <row r="766" spans="1:29" s="4" customFormat="1" ht="30" customHeight="1" x14ac:dyDescent="0.3">
      <c r="A766" s="152" t="s">
        <v>947</v>
      </c>
      <c r="B766" s="153" t="s">
        <v>948</v>
      </c>
      <c r="C766" s="154" t="s">
        <v>69</v>
      </c>
      <c r="D766" s="154" t="s">
        <v>70</v>
      </c>
      <c r="E766" s="154" t="s">
        <v>69</v>
      </c>
      <c r="F766" s="154" t="s">
        <v>71</v>
      </c>
      <c r="G766" s="154">
        <v>21601</v>
      </c>
      <c r="H766" s="154" t="s">
        <v>481</v>
      </c>
      <c r="I766" s="155" t="s">
        <v>621</v>
      </c>
      <c r="J766" s="156" t="s">
        <v>622</v>
      </c>
      <c r="K766" s="156" t="s">
        <v>379</v>
      </c>
      <c r="L766" s="157" t="s">
        <v>379</v>
      </c>
      <c r="M766" s="141" t="s">
        <v>54</v>
      </c>
      <c r="N766" s="156">
        <v>15</v>
      </c>
      <c r="O766" s="158">
        <v>48</v>
      </c>
      <c r="P766" s="158" t="s">
        <v>952</v>
      </c>
      <c r="Q766" s="159">
        <v>720</v>
      </c>
      <c r="R766" s="154">
        <v>0</v>
      </c>
      <c r="S766" s="160">
        <v>624</v>
      </c>
      <c r="T766" s="56">
        <v>0</v>
      </c>
      <c r="U766" s="56">
        <v>0</v>
      </c>
      <c r="V766" s="56">
        <v>0</v>
      </c>
      <c r="W766" s="56">
        <v>0</v>
      </c>
      <c r="X766" s="56">
        <v>0</v>
      </c>
      <c r="Y766" s="56">
        <v>0</v>
      </c>
      <c r="Z766" s="56">
        <v>0</v>
      </c>
      <c r="AA766" s="56">
        <v>0</v>
      </c>
      <c r="AB766" s="56">
        <v>96</v>
      </c>
      <c r="AC766" s="56">
        <v>0</v>
      </c>
    </row>
    <row r="767" spans="1:29" s="4" customFormat="1" ht="30" customHeight="1" x14ac:dyDescent="0.3">
      <c r="A767" s="152" t="s">
        <v>947</v>
      </c>
      <c r="B767" s="153" t="s">
        <v>948</v>
      </c>
      <c r="C767" s="154" t="s">
        <v>69</v>
      </c>
      <c r="D767" s="154" t="s">
        <v>70</v>
      </c>
      <c r="E767" s="154" t="s">
        <v>69</v>
      </c>
      <c r="F767" s="154" t="s">
        <v>71</v>
      </c>
      <c r="G767" s="154">
        <v>21601</v>
      </c>
      <c r="H767" s="154" t="s">
        <v>481</v>
      </c>
      <c r="I767" s="155" t="s">
        <v>896</v>
      </c>
      <c r="J767" s="156" t="s">
        <v>897</v>
      </c>
      <c r="K767" s="156" t="s">
        <v>379</v>
      </c>
      <c r="L767" s="157" t="s">
        <v>379</v>
      </c>
      <c r="M767" s="141" t="s">
        <v>54</v>
      </c>
      <c r="N767" s="156">
        <v>25</v>
      </c>
      <c r="O767" s="158">
        <v>113</v>
      </c>
      <c r="P767" s="158" t="s">
        <v>952</v>
      </c>
      <c r="Q767" s="159">
        <v>2825</v>
      </c>
      <c r="R767" s="154">
        <v>0</v>
      </c>
      <c r="S767" s="160">
        <v>1130</v>
      </c>
      <c r="T767" s="56">
        <v>0</v>
      </c>
      <c r="U767" s="56">
        <v>0</v>
      </c>
      <c r="V767" s="56">
        <v>0</v>
      </c>
      <c r="W767" s="56">
        <v>1130</v>
      </c>
      <c r="X767" s="56">
        <v>0</v>
      </c>
      <c r="Y767" s="56">
        <v>0</v>
      </c>
      <c r="Z767" s="56">
        <v>0</v>
      </c>
      <c r="AA767" s="56">
        <v>0</v>
      </c>
      <c r="AB767" s="56">
        <v>565</v>
      </c>
      <c r="AC767" s="56">
        <v>0</v>
      </c>
    </row>
    <row r="768" spans="1:29" s="4" customFormat="1" ht="30" customHeight="1" x14ac:dyDescent="0.3">
      <c r="A768" s="152" t="s">
        <v>947</v>
      </c>
      <c r="B768" s="153" t="s">
        <v>948</v>
      </c>
      <c r="C768" s="154" t="s">
        <v>69</v>
      </c>
      <c r="D768" s="154" t="s">
        <v>70</v>
      </c>
      <c r="E768" s="154" t="s">
        <v>69</v>
      </c>
      <c r="F768" s="154" t="s">
        <v>71</v>
      </c>
      <c r="G768" s="154">
        <v>21601</v>
      </c>
      <c r="H768" s="154" t="s">
        <v>481</v>
      </c>
      <c r="I768" s="155" t="s">
        <v>538</v>
      </c>
      <c r="J768" s="156" t="s">
        <v>539</v>
      </c>
      <c r="K768" s="156" t="s">
        <v>379</v>
      </c>
      <c r="L768" s="157" t="s">
        <v>379</v>
      </c>
      <c r="M768" s="141" t="s">
        <v>55</v>
      </c>
      <c r="N768" s="156">
        <v>22</v>
      </c>
      <c r="O768" s="158">
        <v>389</v>
      </c>
      <c r="P768" s="158" t="s">
        <v>952</v>
      </c>
      <c r="Q768" s="159">
        <v>8558</v>
      </c>
      <c r="R768" s="154">
        <v>0</v>
      </c>
      <c r="S768" s="160">
        <v>1945</v>
      </c>
      <c r="T768" s="56">
        <v>0</v>
      </c>
      <c r="U768" s="56">
        <v>0</v>
      </c>
      <c r="V768" s="56">
        <v>0</v>
      </c>
      <c r="W768" s="56">
        <v>778</v>
      </c>
      <c r="X768" s="56">
        <v>0</v>
      </c>
      <c r="Y768" s="56">
        <v>0</v>
      </c>
      <c r="Z768" s="56">
        <v>0</v>
      </c>
      <c r="AA768" s="56">
        <v>0</v>
      </c>
      <c r="AB768" s="56">
        <v>5835</v>
      </c>
      <c r="AC768" s="56">
        <v>0</v>
      </c>
    </row>
    <row r="769" spans="1:29" s="4" customFormat="1" ht="30" customHeight="1" x14ac:dyDescent="0.3">
      <c r="A769" s="152" t="s">
        <v>947</v>
      </c>
      <c r="B769" s="153" t="s">
        <v>948</v>
      </c>
      <c r="C769" s="154" t="s">
        <v>69</v>
      </c>
      <c r="D769" s="154" t="s">
        <v>70</v>
      </c>
      <c r="E769" s="154" t="s">
        <v>69</v>
      </c>
      <c r="F769" s="154" t="s">
        <v>71</v>
      </c>
      <c r="G769" s="154">
        <v>21601</v>
      </c>
      <c r="H769" s="154" t="s">
        <v>481</v>
      </c>
      <c r="I769" s="155" t="s">
        <v>980</v>
      </c>
      <c r="J769" s="156" t="s">
        <v>981</v>
      </c>
      <c r="K769" s="156" t="s">
        <v>379</v>
      </c>
      <c r="L769" s="157" t="s">
        <v>379</v>
      </c>
      <c r="M769" s="141" t="s">
        <v>54</v>
      </c>
      <c r="N769" s="156">
        <v>89</v>
      </c>
      <c r="O769" s="158">
        <v>79</v>
      </c>
      <c r="P769" s="158" t="s">
        <v>952</v>
      </c>
      <c r="Q769" s="159">
        <v>7031</v>
      </c>
      <c r="R769" s="154">
        <v>0</v>
      </c>
      <c r="S769" s="160">
        <v>3397</v>
      </c>
      <c r="T769" s="56">
        <v>0</v>
      </c>
      <c r="U769" s="56">
        <v>0</v>
      </c>
      <c r="V769" s="56">
        <v>0</v>
      </c>
      <c r="W769" s="56">
        <v>1422</v>
      </c>
      <c r="X769" s="56">
        <v>0</v>
      </c>
      <c r="Y769" s="56">
        <v>0</v>
      </c>
      <c r="Z769" s="56">
        <v>0</v>
      </c>
      <c r="AA769" s="56">
        <v>0</v>
      </c>
      <c r="AB769" s="56">
        <v>2212</v>
      </c>
      <c r="AC769" s="56">
        <v>0</v>
      </c>
    </row>
    <row r="770" spans="1:29" s="4" customFormat="1" ht="30" customHeight="1" x14ac:dyDescent="0.3">
      <c r="A770" s="152" t="s">
        <v>947</v>
      </c>
      <c r="B770" s="153" t="s">
        <v>948</v>
      </c>
      <c r="C770" s="154" t="s">
        <v>69</v>
      </c>
      <c r="D770" s="154" t="s">
        <v>70</v>
      </c>
      <c r="E770" s="154" t="s">
        <v>69</v>
      </c>
      <c r="F770" s="154" t="s">
        <v>71</v>
      </c>
      <c r="G770" s="154">
        <v>22104</v>
      </c>
      <c r="H770" s="154" t="s">
        <v>982</v>
      </c>
      <c r="I770" s="155" t="s">
        <v>375</v>
      </c>
      <c r="J770" s="156" t="s">
        <v>692</v>
      </c>
      <c r="K770" s="156" t="s">
        <v>379</v>
      </c>
      <c r="L770" s="157" t="s">
        <v>379</v>
      </c>
      <c r="M770" s="141" t="s">
        <v>54</v>
      </c>
      <c r="N770" s="156">
        <v>15</v>
      </c>
      <c r="O770" s="158">
        <v>166.00000000000003</v>
      </c>
      <c r="P770" s="158" t="s">
        <v>952</v>
      </c>
      <c r="Q770" s="159">
        <v>2490</v>
      </c>
      <c r="R770" s="154">
        <v>0</v>
      </c>
      <c r="S770" s="160">
        <v>498</v>
      </c>
      <c r="T770" s="56">
        <v>0</v>
      </c>
      <c r="U770" s="56">
        <v>0</v>
      </c>
      <c r="V770" s="56">
        <v>0</v>
      </c>
      <c r="W770" s="56">
        <v>0</v>
      </c>
      <c r="X770" s="56">
        <v>0</v>
      </c>
      <c r="Y770" s="56">
        <v>498</v>
      </c>
      <c r="Z770" s="56">
        <v>0</v>
      </c>
      <c r="AA770" s="56">
        <v>498</v>
      </c>
      <c r="AB770" s="56">
        <v>498</v>
      </c>
      <c r="AC770" s="56">
        <v>498</v>
      </c>
    </row>
    <row r="771" spans="1:29" s="4" customFormat="1" ht="30" customHeight="1" x14ac:dyDescent="0.3">
      <c r="A771" s="152" t="s">
        <v>947</v>
      </c>
      <c r="B771" s="153" t="s">
        <v>948</v>
      </c>
      <c r="C771" s="154" t="s">
        <v>69</v>
      </c>
      <c r="D771" s="154" t="s">
        <v>70</v>
      </c>
      <c r="E771" s="154" t="s">
        <v>69</v>
      </c>
      <c r="F771" s="154" t="s">
        <v>71</v>
      </c>
      <c r="G771" s="154">
        <v>22106</v>
      </c>
      <c r="H771" s="154" t="s">
        <v>983</v>
      </c>
      <c r="I771" s="155" t="s">
        <v>354</v>
      </c>
      <c r="J771" s="156" t="s">
        <v>984</v>
      </c>
      <c r="K771" s="156" t="s">
        <v>379</v>
      </c>
      <c r="L771" s="157" t="s">
        <v>379</v>
      </c>
      <c r="M771" s="141" t="s">
        <v>726</v>
      </c>
      <c r="N771" s="156">
        <v>5</v>
      </c>
      <c r="O771" s="158">
        <v>670</v>
      </c>
      <c r="P771" s="158" t="s">
        <v>952</v>
      </c>
      <c r="Q771" s="159">
        <v>3350</v>
      </c>
      <c r="R771" s="154">
        <v>0</v>
      </c>
      <c r="S771" s="160">
        <v>670</v>
      </c>
      <c r="T771" s="56">
        <v>0</v>
      </c>
      <c r="U771" s="56">
        <v>670</v>
      </c>
      <c r="V771" s="56">
        <v>0</v>
      </c>
      <c r="W771" s="56">
        <v>670</v>
      </c>
      <c r="X771" s="56">
        <v>0</v>
      </c>
      <c r="Y771" s="56">
        <v>670</v>
      </c>
      <c r="Z771" s="56">
        <v>0</v>
      </c>
      <c r="AA771" s="56">
        <v>0</v>
      </c>
      <c r="AB771" s="56">
        <v>670</v>
      </c>
      <c r="AC771" s="56">
        <v>0</v>
      </c>
    </row>
    <row r="772" spans="1:29" s="4" customFormat="1" ht="30" customHeight="1" x14ac:dyDescent="0.3">
      <c r="A772" s="152" t="s">
        <v>947</v>
      </c>
      <c r="B772" s="153" t="s">
        <v>948</v>
      </c>
      <c r="C772" s="154" t="s">
        <v>69</v>
      </c>
      <c r="D772" s="154" t="s">
        <v>70</v>
      </c>
      <c r="E772" s="154" t="s">
        <v>69</v>
      </c>
      <c r="F772" s="154" t="s">
        <v>71</v>
      </c>
      <c r="G772" s="154">
        <v>24601</v>
      </c>
      <c r="H772" s="154" t="s">
        <v>587</v>
      </c>
      <c r="I772" s="155" t="s">
        <v>985</v>
      </c>
      <c r="J772" s="156" t="s">
        <v>986</v>
      </c>
      <c r="K772" s="156" t="s">
        <v>379</v>
      </c>
      <c r="L772" s="157" t="s">
        <v>379</v>
      </c>
      <c r="M772" s="141" t="s">
        <v>54</v>
      </c>
      <c r="N772" s="156">
        <v>18</v>
      </c>
      <c r="O772" s="158">
        <v>83.000000000000014</v>
      </c>
      <c r="P772" s="158" t="s">
        <v>952</v>
      </c>
      <c r="Q772" s="159">
        <v>1494</v>
      </c>
      <c r="R772" s="154">
        <v>0</v>
      </c>
      <c r="S772" s="160">
        <v>498.00000000000011</v>
      </c>
      <c r="T772" s="56">
        <v>0</v>
      </c>
      <c r="U772" s="56">
        <v>0</v>
      </c>
      <c r="V772" s="56">
        <v>0</v>
      </c>
      <c r="W772" s="56">
        <v>0</v>
      </c>
      <c r="X772" s="56">
        <v>498.00000000000011</v>
      </c>
      <c r="Y772" s="56">
        <v>0</v>
      </c>
      <c r="Z772" s="56">
        <v>0</v>
      </c>
      <c r="AA772" s="56">
        <v>0</v>
      </c>
      <c r="AB772" s="56">
        <v>498.00000000000011</v>
      </c>
      <c r="AC772" s="56">
        <v>0</v>
      </c>
    </row>
    <row r="773" spans="1:29" s="4" customFormat="1" ht="30" customHeight="1" x14ac:dyDescent="0.3">
      <c r="A773" s="152" t="s">
        <v>947</v>
      </c>
      <c r="B773" s="153" t="s">
        <v>948</v>
      </c>
      <c r="C773" s="154" t="s">
        <v>69</v>
      </c>
      <c r="D773" s="154" t="s">
        <v>70</v>
      </c>
      <c r="E773" s="154" t="s">
        <v>69</v>
      </c>
      <c r="F773" s="154" t="s">
        <v>71</v>
      </c>
      <c r="G773" s="154">
        <v>26102</v>
      </c>
      <c r="H773" s="154" t="s">
        <v>570</v>
      </c>
      <c r="I773" s="155" t="s">
        <v>313</v>
      </c>
      <c r="J773" s="156" t="s">
        <v>571</v>
      </c>
      <c r="K773" s="156" t="s">
        <v>379</v>
      </c>
      <c r="L773" s="157" t="s">
        <v>379</v>
      </c>
      <c r="M773" s="141" t="s">
        <v>726</v>
      </c>
      <c r="N773" s="156">
        <v>13</v>
      </c>
      <c r="O773" s="158">
        <v>5800</v>
      </c>
      <c r="P773" s="158" t="s">
        <v>952</v>
      </c>
      <c r="Q773" s="159">
        <v>75400</v>
      </c>
      <c r="R773" s="154">
        <v>5800</v>
      </c>
      <c r="S773" s="160">
        <v>5800</v>
      </c>
      <c r="T773" s="56">
        <v>5800</v>
      </c>
      <c r="U773" s="56">
        <v>5800</v>
      </c>
      <c r="V773" s="56">
        <v>5800</v>
      </c>
      <c r="W773" s="56">
        <v>5800</v>
      </c>
      <c r="X773" s="56">
        <v>5800</v>
      </c>
      <c r="Y773" s="56">
        <v>5800</v>
      </c>
      <c r="Z773" s="56">
        <v>5800</v>
      </c>
      <c r="AA773" s="56">
        <v>5800</v>
      </c>
      <c r="AB773" s="56">
        <v>5800</v>
      </c>
      <c r="AC773" s="56">
        <v>11600</v>
      </c>
    </row>
    <row r="774" spans="1:29" s="4" customFormat="1" ht="30" customHeight="1" x14ac:dyDescent="0.3">
      <c r="A774" s="152" t="s">
        <v>947</v>
      </c>
      <c r="B774" s="153" t="s">
        <v>948</v>
      </c>
      <c r="C774" s="154" t="s">
        <v>69</v>
      </c>
      <c r="D774" s="154" t="s">
        <v>70</v>
      </c>
      <c r="E774" s="154" t="s">
        <v>69</v>
      </c>
      <c r="F774" s="154" t="s">
        <v>72</v>
      </c>
      <c r="G774" s="154">
        <v>31301</v>
      </c>
      <c r="H774" s="154" t="s">
        <v>569</v>
      </c>
      <c r="I774" s="155"/>
      <c r="J774" s="156" t="s">
        <v>987</v>
      </c>
      <c r="K774" s="156" t="s">
        <v>379</v>
      </c>
      <c r="L774" s="157" t="s">
        <v>988</v>
      </c>
      <c r="M774" s="141" t="s">
        <v>429</v>
      </c>
      <c r="N774" s="156">
        <v>12</v>
      </c>
      <c r="O774" s="158">
        <v>375</v>
      </c>
      <c r="P774" s="158" t="s">
        <v>952</v>
      </c>
      <c r="Q774" s="159">
        <v>4500</v>
      </c>
      <c r="R774" s="154">
        <v>375</v>
      </c>
      <c r="S774" s="160">
        <v>375</v>
      </c>
      <c r="T774" s="56">
        <v>375</v>
      </c>
      <c r="U774" s="56">
        <v>375</v>
      </c>
      <c r="V774" s="56">
        <v>375</v>
      </c>
      <c r="W774" s="56">
        <v>375</v>
      </c>
      <c r="X774" s="56">
        <v>375</v>
      </c>
      <c r="Y774" s="56">
        <v>375</v>
      </c>
      <c r="Z774" s="56">
        <v>375</v>
      </c>
      <c r="AA774" s="56">
        <v>375</v>
      </c>
      <c r="AB774" s="56">
        <v>375</v>
      </c>
      <c r="AC774" s="56">
        <v>375</v>
      </c>
    </row>
    <row r="775" spans="1:29" s="4" customFormat="1" ht="30" customHeight="1" x14ac:dyDescent="0.3">
      <c r="A775" s="152" t="s">
        <v>947</v>
      </c>
      <c r="B775" s="153" t="s">
        <v>948</v>
      </c>
      <c r="C775" s="154" t="s">
        <v>69</v>
      </c>
      <c r="D775" s="154" t="s">
        <v>70</v>
      </c>
      <c r="E775" s="154" t="s">
        <v>69</v>
      </c>
      <c r="F775" s="154" t="s">
        <v>72</v>
      </c>
      <c r="G775" s="154">
        <v>31401</v>
      </c>
      <c r="H775" s="154" t="s">
        <v>494</v>
      </c>
      <c r="I775" s="155"/>
      <c r="J775" s="156" t="s">
        <v>427</v>
      </c>
      <c r="K775" s="156" t="s">
        <v>379</v>
      </c>
      <c r="L775" s="157" t="s">
        <v>988</v>
      </c>
      <c r="M775" s="141" t="s">
        <v>429</v>
      </c>
      <c r="N775" s="156">
        <v>12</v>
      </c>
      <c r="O775" s="158">
        <v>2084</v>
      </c>
      <c r="P775" s="158" t="s">
        <v>952</v>
      </c>
      <c r="Q775" s="159">
        <v>25008</v>
      </c>
      <c r="R775" s="154">
        <v>2084</v>
      </c>
      <c r="S775" s="160">
        <v>2084</v>
      </c>
      <c r="T775" s="56">
        <v>2084</v>
      </c>
      <c r="U775" s="56">
        <v>2084</v>
      </c>
      <c r="V775" s="56">
        <v>2084</v>
      </c>
      <c r="W775" s="56">
        <v>2084</v>
      </c>
      <c r="X775" s="56">
        <v>2084</v>
      </c>
      <c r="Y775" s="56">
        <v>2084</v>
      </c>
      <c r="Z775" s="56">
        <v>2084</v>
      </c>
      <c r="AA775" s="56">
        <v>2084</v>
      </c>
      <c r="AB775" s="56">
        <v>2084</v>
      </c>
      <c r="AC775" s="56">
        <v>2084</v>
      </c>
    </row>
    <row r="776" spans="1:29" s="4" customFormat="1" ht="30" customHeight="1" x14ac:dyDescent="0.3">
      <c r="A776" s="152" t="s">
        <v>947</v>
      </c>
      <c r="B776" s="153" t="s">
        <v>948</v>
      </c>
      <c r="C776" s="154" t="s">
        <v>69</v>
      </c>
      <c r="D776" s="154" t="s">
        <v>70</v>
      </c>
      <c r="E776" s="154" t="s">
        <v>69</v>
      </c>
      <c r="F776" s="154" t="s">
        <v>72</v>
      </c>
      <c r="G776" s="154">
        <v>32201</v>
      </c>
      <c r="H776" s="154" t="s">
        <v>561</v>
      </c>
      <c r="I776" s="155"/>
      <c r="J776" s="156" t="s">
        <v>989</v>
      </c>
      <c r="K776" s="156" t="s">
        <v>379</v>
      </c>
      <c r="L776" s="157" t="s">
        <v>988</v>
      </c>
      <c r="M776" s="141" t="s">
        <v>429</v>
      </c>
      <c r="N776" s="156">
        <v>12</v>
      </c>
      <c r="O776" s="158">
        <v>50355</v>
      </c>
      <c r="P776" s="158" t="s">
        <v>952</v>
      </c>
      <c r="Q776" s="159">
        <v>604262</v>
      </c>
      <c r="R776" s="154">
        <v>0</v>
      </c>
      <c r="S776" s="160">
        <v>50356</v>
      </c>
      <c r="T776" s="56">
        <v>50356</v>
      </c>
      <c r="U776" s="56">
        <v>50355</v>
      </c>
      <c r="V776" s="56">
        <v>50355</v>
      </c>
      <c r="W776" s="56">
        <v>50355</v>
      </c>
      <c r="X776" s="56">
        <v>50355</v>
      </c>
      <c r="Y776" s="56">
        <v>50355</v>
      </c>
      <c r="Z776" s="56">
        <v>50355</v>
      </c>
      <c r="AA776" s="56">
        <v>50355</v>
      </c>
      <c r="AB776" s="56">
        <v>50355</v>
      </c>
      <c r="AC776" s="56">
        <v>100710</v>
      </c>
    </row>
    <row r="777" spans="1:29" s="4" customFormat="1" ht="30" customHeight="1" x14ac:dyDescent="0.3">
      <c r="A777" s="152" t="s">
        <v>947</v>
      </c>
      <c r="B777" s="153" t="s">
        <v>948</v>
      </c>
      <c r="C777" s="154" t="s">
        <v>69</v>
      </c>
      <c r="D777" s="154" t="s">
        <v>70</v>
      </c>
      <c r="E777" s="154" t="s">
        <v>69</v>
      </c>
      <c r="F777" s="154" t="s">
        <v>71</v>
      </c>
      <c r="G777" s="154">
        <v>32601</v>
      </c>
      <c r="H777" s="154" t="s">
        <v>496</v>
      </c>
      <c r="I777" s="155"/>
      <c r="J777" s="156" t="s">
        <v>990</v>
      </c>
      <c r="K777" s="156" t="s">
        <v>379</v>
      </c>
      <c r="L777" s="157" t="s">
        <v>988</v>
      </c>
      <c r="M777" s="141" t="s">
        <v>429</v>
      </c>
      <c r="N777" s="156">
        <v>12</v>
      </c>
      <c r="O777" s="158">
        <v>3214</v>
      </c>
      <c r="P777" s="158" t="s">
        <v>952</v>
      </c>
      <c r="Q777" s="159">
        <v>38568</v>
      </c>
      <c r="R777" s="154">
        <v>3214</v>
      </c>
      <c r="S777" s="160">
        <v>3214</v>
      </c>
      <c r="T777" s="56">
        <v>3214</v>
      </c>
      <c r="U777" s="56">
        <v>3214</v>
      </c>
      <c r="V777" s="56">
        <v>3214</v>
      </c>
      <c r="W777" s="56">
        <v>3214</v>
      </c>
      <c r="X777" s="56">
        <v>3214</v>
      </c>
      <c r="Y777" s="56">
        <v>3214</v>
      </c>
      <c r="Z777" s="56">
        <v>3214</v>
      </c>
      <c r="AA777" s="56">
        <v>3214</v>
      </c>
      <c r="AB777" s="56">
        <v>3214</v>
      </c>
      <c r="AC777" s="56">
        <v>3214</v>
      </c>
    </row>
    <row r="778" spans="1:29" s="4" customFormat="1" ht="30" customHeight="1" x14ac:dyDescent="0.3">
      <c r="A778" s="152" t="s">
        <v>947</v>
      </c>
      <c r="B778" s="153" t="s">
        <v>948</v>
      </c>
      <c r="C778" s="154" t="s">
        <v>69</v>
      </c>
      <c r="D778" s="154" t="s">
        <v>70</v>
      </c>
      <c r="E778" s="154" t="s">
        <v>69</v>
      </c>
      <c r="F778" s="154" t="s">
        <v>72</v>
      </c>
      <c r="G778" s="154">
        <v>33801</v>
      </c>
      <c r="H778" s="154" t="s">
        <v>564</v>
      </c>
      <c r="I778" s="155"/>
      <c r="J778" s="156" t="s">
        <v>991</v>
      </c>
      <c r="K778" s="156" t="s">
        <v>379</v>
      </c>
      <c r="L778" s="157" t="s">
        <v>988</v>
      </c>
      <c r="M778" s="141" t="s">
        <v>429</v>
      </c>
      <c r="N778" s="156">
        <v>12</v>
      </c>
      <c r="O778" s="158">
        <v>36978</v>
      </c>
      <c r="P778" s="158" t="s">
        <v>952</v>
      </c>
      <c r="Q778" s="159">
        <v>443737</v>
      </c>
      <c r="R778" s="154">
        <v>0</v>
      </c>
      <c r="S778" s="160">
        <v>36979</v>
      </c>
      <c r="T778" s="56">
        <v>36978</v>
      </c>
      <c r="U778" s="56">
        <v>36978</v>
      </c>
      <c r="V778" s="56">
        <v>36978</v>
      </c>
      <c r="W778" s="56">
        <v>36978</v>
      </c>
      <c r="X778" s="56">
        <v>36978</v>
      </c>
      <c r="Y778" s="56">
        <v>36978</v>
      </c>
      <c r="Z778" s="56">
        <v>36978</v>
      </c>
      <c r="AA778" s="56">
        <v>36978</v>
      </c>
      <c r="AB778" s="56">
        <v>36978</v>
      </c>
      <c r="AC778" s="56">
        <v>73956</v>
      </c>
    </row>
    <row r="779" spans="1:29" s="4" customFormat="1" ht="30" customHeight="1" x14ac:dyDescent="0.3">
      <c r="A779" s="152" t="s">
        <v>947</v>
      </c>
      <c r="B779" s="153" t="s">
        <v>948</v>
      </c>
      <c r="C779" s="154" t="s">
        <v>69</v>
      </c>
      <c r="D779" s="154" t="s">
        <v>70</v>
      </c>
      <c r="E779" s="154" t="s">
        <v>69</v>
      </c>
      <c r="F779" s="154" t="s">
        <v>71</v>
      </c>
      <c r="G779" s="154">
        <v>34701</v>
      </c>
      <c r="H779" s="154" t="s">
        <v>992</v>
      </c>
      <c r="I779" s="155"/>
      <c r="J779" s="156" t="s">
        <v>228</v>
      </c>
      <c r="K779" s="156" t="s">
        <v>379</v>
      </c>
      <c r="L779" s="157" t="s">
        <v>379</v>
      </c>
      <c r="M779" s="141" t="s">
        <v>429</v>
      </c>
      <c r="N779" s="156">
        <v>5</v>
      </c>
      <c r="O779" s="158">
        <v>878</v>
      </c>
      <c r="P779" s="158" t="s">
        <v>952</v>
      </c>
      <c r="Q779" s="159">
        <v>4390</v>
      </c>
      <c r="R779" s="154">
        <v>0</v>
      </c>
      <c r="S779" s="160">
        <v>0</v>
      </c>
      <c r="T779" s="56">
        <v>0</v>
      </c>
      <c r="U779" s="56">
        <v>0</v>
      </c>
      <c r="V779" s="56">
        <v>0</v>
      </c>
      <c r="W779" s="56">
        <v>878</v>
      </c>
      <c r="X779" s="56">
        <v>0</v>
      </c>
      <c r="Y779" s="56">
        <v>0</v>
      </c>
      <c r="Z779" s="56">
        <v>878</v>
      </c>
      <c r="AA779" s="56">
        <v>878</v>
      </c>
      <c r="AB779" s="56">
        <v>878</v>
      </c>
      <c r="AC779" s="56">
        <v>878</v>
      </c>
    </row>
    <row r="780" spans="1:29" s="4" customFormat="1" ht="30" customHeight="1" x14ac:dyDescent="0.3">
      <c r="A780" s="152" t="s">
        <v>947</v>
      </c>
      <c r="B780" s="153" t="s">
        <v>948</v>
      </c>
      <c r="C780" s="154" t="s">
        <v>69</v>
      </c>
      <c r="D780" s="154" t="s">
        <v>70</v>
      </c>
      <c r="E780" s="154" t="s">
        <v>69</v>
      </c>
      <c r="F780" s="154" t="s">
        <v>72</v>
      </c>
      <c r="G780" s="154">
        <v>35101</v>
      </c>
      <c r="H780" s="154" t="s">
        <v>993</v>
      </c>
      <c r="I780" s="155"/>
      <c r="J780" s="156" t="s">
        <v>994</v>
      </c>
      <c r="K780" s="156" t="s">
        <v>379</v>
      </c>
      <c r="L780" s="157" t="s">
        <v>379</v>
      </c>
      <c r="M780" s="141" t="s">
        <v>429</v>
      </c>
      <c r="N780" s="156">
        <v>6</v>
      </c>
      <c r="O780" s="158">
        <v>3629</v>
      </c>
      <c r="P780" s="158" t="s">
        <v>952</v>
      </c>
      <c r="Q780" s="159">
        <v>21774</v>
      </c>
      <c r="R780" s="154">
        <v>0</v>
      </c>
      <c r="S780" s="160">
        <v>3629</v>
      </c>
      <c r="T780" s="56">
        <v>3629</v>
      </c>
      <c r="U780" s="56">
        <v>0</v>
      </c>
      <c r="V780" s="56">
        <v>3629</v>
      </c>
      <c r="W780" s="56">
        <v>0</v>
      </c>
      <c r="X780" s="56">
        <v>3629</v>
      </c>
      <c r="Y780" s="56">
        <v>3629</v>
      </c>
      <c r="Z780" s="56">
        <v>0</v>
      </c>
      <c r="AA780" s="56">
        <v>0</v>
      </c>
      <c r="AB780" s="56">
        <v>3629</v>
      </c>
      <c r="AC780" s="56">
        <v>0</v>
      </c>
    </row>
    <row r="781" spans="1:29" s="4" customFormat="1" ht="30" customHeight="1" x14ac:dyDescent="0.3">
      <c r="A781" s="152" t="s">
        <v>947</v>
      </c>
      <c r="B781" s="153" t="s">
        <v>948</v>
      </c>
      <c r="C781" s="154" t="s">
        <v>69</v>
      </c>
      <c r="D781" s="154" t="s">
        <v>70</v>
      </c>
      <c r="E781" s="154" t="s">
        <v>69</v>
      </c>
      <c r="F781" s="154" t="s">
        <v>71</v>
      </c>
      <c r="G781" s="154">
        <v>35501</v>
      </c>
      <c r="H781" s="154" t="s">
        <v>995</v>
      </c>
      <c r="I781" s="155"/>
      <c r="J781" s="156" t="s">
        <v>996</v>
      </c>
      <c r="K781" s="156" t="s">
        <v>379</v>
      </c>
      <c r="L781" s="157" t="s">
        <v>379</v>
      </c>
      <c r="M781" s="141" t="s">
        <v>429</v>
      </c>
      <c r="N781" s="156">
        <v>2</v>
      </c>
      <c r="O781" s="158">
        <v>3751</v>
      </c>
      <c r="P781" s="158" t="s">
        <v>952</v>
      </c>
      <c r="Q781" s="159">
        <v>7502</v>
      </c>
      <c r="R781" s="154">
        <v>0</v>
      </c>
      <c r="S781" s="160">
        <v>3751</v>
      </c>
      <c r="T781" s="56">
        <v>0</v>
      </c>
      <c r="U781" s="56">
        <v>0</v>
      </c>
      <c r="V781" s="56">
        <v>0</v>
      </c>
      <c r="W781" s="56">
        <v>0</v>
      </c>
      <c r="X781" s="56">
        <v>3751</v>
      </c>
      <c r="Y781" s="56">
        <v>0</v>
      </c>
      <c r="Z781" s="56">
        <v>0</v>
      </c>
      <c r="AA781" s="56">
        <v>0</v>
      </c>
      <c r="AB781" s="56">
        <v>0</v>
      </c>
      <c r="AC781" s="56">
        <v>0</v>
      </c>
    </row>
    <row r="782" spans="1:29" s="4" customFormat="1" ht="30" customHeight="1" x14ac:dyDescent="0.3">
      <c r="A782" s="152" t="s">
        <v>947</v>
      </c>
      <c r="B782" s="153" t="s">
        <v>948</v>
      </c>
      <c r="C782" s="154" t="s">
        <v>69</v>
      </c>
      <c r="D782" s="154" t="s">
        <v>70</v>
      </c>
      <c r="E782" s="154" t="s">
        <v>69</v>
      </c>
      <c r="F782" s="154" t="s">
        <v>71</v>
      </c>
      <c r="G782" s="154">
        <v>35701</v>
      </c>
      <c r="H782" s="154" t="s">
        <v>997</v>
      </c>
      <c r="I782" s="155"/>
      <c r="J782" s="156" t="s">
        <v>998</v>
      </c>
      <c r="K782" s="156" t="s">
        <v>379</v>
      </c>
      <c r="L782" s="157" t="s">
        <v>379</v>
      </c>
      <c r="M782" s="141" t="s">
        <v>429</v>
      </c>
      <c r="N782" s="156">
        <v>1</v>
      </c>
      <c r="O782" s="158">
        <v>5715.9999999999991</v>
      </c>
      <c r="P782" s="158" t="s">
        <v>952</v>
      </c>
      <c r="Q782" s="159">
        <v>5716</v>
      </c>
      <c r="R782" s="154">
        <v>0</v>
      </c>
      <c r="S782" s="160">
        <v>5716</v>
      </c>
      <c r="T782" s="56">
        <v>0</v>
      </c>
      <c r="U782" s="56">
        <v>0</v>
      </c>
      <c r="V782" s="56">
        <v>0</v>
      </c>
      <c r="W782" s="56">
        <v>0</v>
      </c>
      <c r="X782" s="56">
        <v>0</v>
      </c>
      <c r="Y782" s="56">
        <v>0</v>
      </c>
      <c r="Z782" s="56">
        <v>0</v>
      </c>
      <c r="AA782" s="56">
        <v>0</v>
      </c>
      <c r="AB782" s="56">
        <v>0</v>
      </c>
      <c r="AC782" s="56">
        <v>0</v>
      </c>
    </row>
    <row r="783" spans="1:29" s="4" customFormat="1" ht="30" customHeight="1" x14ac:dyDescent="0.3">
      <c r="A783" s="152" t="s">
        <v>947</v>
      </c>
      <c r="B783" s="153" t="s">
        <v>948</v>
      </c>
      <c r="C783" s="154" t="s">
        <v>69</v>
      </c>
      <c r="D783" s="154" t="s">
        <v>70</v>
      </c>
      <c r="E783" s="154" t="s">
        <v>69</v>
      </c>
      <c r="F783" s="154" t="s">
        <v>72</v>
      </c>
      <c r="G783" s="154">
        <v>35801</v>
      </c>
      <c r="H783" s="154" t="s">
        <v>567</v>
      </c>
      <c r="I783" s="155"/>
      <c r="J783" s="156" t="s">
        <v>240</v>
      </c>
      <c r="K783" s="156" t="s">
        <v>379</v>
      </c>
      <c r="L783" s="157" t="s">
        <v>988</v>
      </c>
      <c r="M783" s="141" t="s">
        <v>429</v>
      </c>
      <c r="N783" s="156">
        <v>12</v>
      </c>
      <c r="O783" s="158">
        <v>19602</v>
      </c>
      <c r="P783" s="158" t="s">
        <v>952</v>
      </c>
      <c r="Q783" s="159">
        <v>235223</v>
      </c>
      <c r="R783" s="154">
        <v>0</v>
      </c>
      <c r="S783" s="160">
        <v>19601</v>
      </c>
      <c r="T783" s="56">
        <v>19602</v>
      </c>
      <c r="U783" s="56">
        <v>19602</v>
      </c>
      <c r="V783" s="56">
        <v>19602</v>
      </c>
      <c r="W783" s="56">
        <v>19602</v>
      </c>
      <c r="X783" s="56">
        <v>19602</v>
      </c>
      <c r="Y783" s="56">
        <v>19602</v>
      </c>
      <c r="Z783" s="56">
        <v>19602</v>
      </c>
      <c r="AA783" s="56">
        <v>19602</v>
      </c>
      <c r="AB783" s="56">
        <v>19602</v>
      </c>
      <c r="AC783" s="56">
        <v>39204</v>
      </c>
    </row>
    <row r="784" spans="1:29" s="4" customFormat="1" ht="30" customHeight="1" x14ac:dyDescent="0.3">
      <c r="A784" s="152" t="s">
        <v>947</v>
      </c>
      <c r="B784" s="153" t="s">
        <v>948</v>
      </c>
      <c r="C784" s="154" t="s">
        <v>69</v>
      </c>
      <c r="D784" s="154" t="s">
        <v>70</v>
      </c>
      <c r="E784" s="154" t="s">
        <v>69</v>
      </c>
      <c r="F784" s="154" t="s">
        <v>71</v>
      </c>
      <c r="G784" s="154">
        <v>37504</v>
      </c>
      <c r="H784" s="154" t="s">
        <v>999</v>
      </c>
      <c r="I784" s="155"/>
      <c r="J784" s="156" t="s">
        <v>1000</v>
      </c>
      <c r="K784" s="156" t="s">
        <v>379</v>
      </c>
      <c r="L784" s="157" t="s">
        <v>379</v>
      </c>
      <c r="M784" s="141" t="s">
        <v>429</v>
      </c>
      <c r="N784" s="156">
        <v>11</v>
      </c>
      <c r="O784" s="158">
        <v>640</v>
      </c>
      <c r="P784" s="158" t="s">
        <v>952</v>
      </c>
      <c r="Q784" s="159">
        <v>7040</v>
      </c>
      <c r="R784" s="154">
        <v>640</v>
      </c>
      <c r="S784" s="160">
        <v>640</v>
      </c>
      <c r="T784" s="56">
        <v>640</v>
      </c>
      <c r="U784" s="56">
        <v>640</v>
      </c>
      <c r="V784" s="56">
        <v>640</v>
      </c>
      <c r="W784" s="56">
        <v>640</v>
      </c>
      <c r="X784" s="56">
        <v>0</v>
      </c>
      <c r="Y784" s="56">
        <v>640</v>
      </c>
      <c r="Z784" s="56">
        <v>640</v>
      </c>
      <c r="AA784" s="56">
        <v>640</v>
      </c>
      <c r="AB784" s="56">
        <v>640</v>
      </c>
      <c r="AC784" s="56">
        <v>640</v>
      </c>
    </row>
    <row r="785" spans="1:29" s="4" customFormat="1" ht="30" customHeight="1" x14ac:dyDescent="0.3">
      <c r="A785" s="152" t="s">
        <v>947</v>
      </c>
      <c r="B785" s="153" t="s">
        <v>948</v>
      </c>
      <c r="C785" s="154" t="s">
        <v>69</v>
      </c>
      <c r="D785" s="154" t="s">
        <v>70</v>
      </c>
      <c r="E785" s="154" t="s">
        <v>69</v>
      </c>
      <c r="F785" s="154" t="s">
        <v>71</v>
      </c>
      <c r="G785" s="154">
        <v>37504</v>
      </c>
      <c r="H785" s="154" t="s">
        <v>999</v>
      </c>
      <c r="I785" s="155"/>
      <c r="J785" s="156" t="s">
        <v>1000</v>
      </c>
      <c r="K785" s="156" t="s">
        <v>379</v>
      </c>
      <c r="L785" s="157" t="s">
        <v>379</v>
      </c>
      <c r="M785" s="141" t="s">
        <v>429</v>
      </c>
      <c r="N785" s="156">
        <v>6</v>
      </c>
      <c r="O785" s="158">
        <v>640</v>
      </c>
      <c r="P785" s="158" t="s">
        <v>952</v>
      </c>
      <c r="Q785" s="159">
        <v>3840</v>
      </c>
      <c r="R785" s="154">
        <v>640</v>
      </c>
      <c r="S785" s="160">
        <v>0</v>
      </c>
      <c r="T785" s="56">
        <v>640</v>
      </c>
      <c r="U785" s="56">
        <v>0</v>
      </c>
      <c r="V785" s="56">
        <v>640</v>
      </c>
      <c r="W785" s="56">
        <v>0</v>
      </c>
      <c r="X785" s="56">
        <v>640</v>
      </c>
      <c r="Y785" s="56">
        <v>640</v>
      </c>
      <c r="Z785" s="56">
        <v>0</v>
      </c>
      <c r="AA785" s="56">
        <v>0</v>
      </c>
      <c r="AB785" s="56">
        <v>640</v>
      </c>
      <c r="AC785" s="56">
        <v>0</v>
      </c>
    </row>
    <row r="786" spans="1:29" s="4" customFormat="1" ht="30" customHeight="1" x14ac:dyDescent="0.3">
      <c r="A786" s="152" t="s">
        <v>947</v>
      </c>
      <c r="B786" s="153" t="s">
        <v>948</v>
      </c>
      <c r="C786" s="154" t="s">
        <v>69</v>
      </c>
      <c r="D786" s="154" t="s">
        <v>70</v>
      </c>
      <c r="E786" s="154" t="s">
        <v>69</v>
      </c>
      <c r="F786" s="154" t="s">
        <v>71</v>
      </c>
      <c r="G786" s="154">
        <v>37504</v>
      </c>
      <c r="H786" s="154" t="s">
        <v>999</v>
      </c>
      <c r="I786" s="155"/>
      <c r="J786" s="156" t="s">
        <v>1000</v>
      </c>
      <c r="K786" s="156" t="s">
        <v>379</v>
      </c>
      <c r="L786" s="157" t="s">
        <v>379</v>
      </c>
      <c r="M786" s="141" t="s">
        <v>429</v>
      </c>
      <c r="N786" s="156">
        <v>6</v>
      </c>
      <c r="O786" s="158">
        <v>640</v>
      </c>
      <c r="P786" s="158" t="s">
        <v>952</v>
      </c>
      <c r="Q786" s="159">
        <v>3840</v>
      </c>
      <c r="R786" s="154">
        <v>640</v>
      </c>
      <c r="S786" s="160">
        <v>0</v>
      </c>
      <c r="T786" s="56">
        <v>640</v>
      </c>
      <c r="U786" s="56">
        <v>0</v>
      </c>
      <c r="V786" s="56">
        <v>640</v>
      </c>
      <c r="W786" s="56">
        <v>0</v>
      </c>
      <c r="X786" s="56">
        <v>640</v>
      </c>
      <c r="Y786" s="56">
        <v>640</v>
      </c>
      <c r="Z786" s="56">
        <v>0</v>
      </c>
      <c r="AA786" s="56">
        <v>0</v>
      </c>
      <c r="AB786" s="56">
        <v>640</v>
      </c>
      <c r="AC786" s="56">
        <v>0</v>
      </c>
    </row>
    <row r="787" spans="1:29" s="4" customFormat="1" ht="30" customHeight="1" x14ac:dyDescent="0.3">
      <c r="A787" s="152" t="s">
        <v>947</v>
      </c>
      <c r="B787" s="153" t="s">
        <v>948</v>
      </c>
      <c r="C787" s="154" t="s">
        <v>69</v>
      </c>
      <c r="D787" s="154" t="s">
        <v>70</v>
      </c>
      <c r="E787" s="154" t="s">
        <v>69</v>
      </c>
      <c r="F787" s="154" t="s">
        <v>71</v>
      </c>
      <c r="G787" s="154" t="s">
        <v>629</v>
      </c>
      <c r="H787" s="154" t="s">
        <v>499</v>
      </c>
      <c r="I787" s="155"/>
      <c r="J787" s="156" t="s">
        <v>1001</v>
      </c>
      <c r="K787" s="156" t="s">
        <v>379</v>
      </c>
      <c r="L787" s="157" t="s">
        <v>379</v>
      </c>
      <c r="M787" s="141" t="s">
        <v>429</v>
      </c>
      <c r="N787" s="156">
        <v>5</v>
      </c>
      <c r="O787" s="158">
        <v>699.99999999999989</v>
      </c>
      <c r="P787" s="158" t="s">
        <v>952</v>
      </c>
      <c r="Q787" s="159">
        <v>3500</v>
      </c>
      <c r="R787" s="154">
        <v>0</v>
      </c>
      <c r="S787" s="160">
        <v>700</v>
      </c>
      <c r="T787" s="56">
        <v>1400</v>
      </c>
      <c r="U787" s="56">
        <v>0</v>
      </c>
      <c r="V787" s="56">
        <v>0</v>
      </c>
      <c r="W787" s="56">
        <v>0</v>
      </c>
      <c r="X787" s="56">
        <v>700</v>
      </c>
      <c r="Y787" s="56">
        <v>0</v>
      </c>
      <c r="Z787" s="56">
        <v>0</v>
      </c>
      <c r="AA787" s="56">
        <v>0</v>
      </c>
      <c r="AB787" s="56">
        <v>0</v>
      </c>
      <c r="AC787" s="56">
        <v>700</v>
      </c>
    </row>
    <row r="788" spans="1:29" s="4" customFormat="1" ht="30" customHeight="1" x14ac:dyDescent="0.3">
      <c r="A788" s="152" t="s">
        <v>947</v>
      </c>
      <c r="B788" s="153" t="s">
        <v>948</v>
      </c>
      <c r="C788" s="154" t="s">
        <v>69</v>
      </c>
      <c r="D788" s="154" t="s">
        <v>70</v>
      </c>
      <c r="E788" s="154">
        <v>119</v>
      </c>
      <c r="F788" s="154" t="s">
        <v>444</v>
      </c>
      <c r="G788" s="154">
        <v>21601</v>
      </c>
      <c r="H788" s="154" t="s">
        <v>481</v>
      </c>
      <c r="I788" s="155" t="s">
        <v>1002</v>
      </c>
      <c r="J788" s="156" t="s">
        <v>1003</v>
      </c>
      <c r="K788" s="156" t="s">
        <v>379</v>
      </c>
      <c r="L788" s="157" t="s">
        <v>379</v>
      </c>
      <c r="M788" s="141" t="s">
        <v>1004</v>
      </c>
      <c r="N788" s="156">
        <v>143</v>
      </c>
      <c r="O788" s="158">
        <v>63.069953999999996</v>
      </c>
      <c r="P788" s="158" t="s">
        <v>952</v>
      </c>
      <c r="Q788" s="159">
        <v>9019.0034219999998</v>
      </c>
      <c r="R788" s="154">
        <v>0</v>
      </c>
      <c r="S788" s="160">
        <v>0</v>
      </c>
      <c r="T788" s="56">
        <v>5991.64</v>
      </c>
      <c r="U788" s="56">
        <v>0</v>
      </c>
      <c r="V788" s="56">
        <v>0</v>
      </c>
      <c r="W788" s="56">
        <v>0</v>
      </c>
      <c r="X788" s="56">
        <v>0</v>
      </c>
      <c r="Y788" s="56">
        <v>3027.35</v>
      </c>
      <c r="Z788" s="56">
        <v>0</v>
      </c>
      <c r="AA788" s="56">
        <v>0</v>
      </c>
      <c r="AB788" s="56">
        <v>0</v>
      </c>
      <c r="AC788" s="56">
        <v>0</v>
      </c>
    </row>
    <row r="789" spans="1:29" s="4" customFormat="1" ht="30" customHeight="1" x14ac:dyDescent="0.3">
      <c r="A789" s="152" t="s">
        <v>947</v>
      </c>
      <c r="B789" s="153" t="s">
        <v>948</v>
      </c>
      <c r="C789" s="154" t="s">
        <v>69</v>
      </c>
      <c r="D789" s="154" t="s">
        <v>70</v>
      </c>
      <c r="E789" s="154">
        <v>119</v>
      </c>
      <c r="F789" s="154" t="s">
        <v>444</v>
      </c>
      <c r="G789" s="154">
        <v>21601</v>
      </c>
      <c r="H789" s="154" t="s">
        <v>481</v>
      </c>
      <c r="I789" s="155" t="s">
        <v>348</v>
      </c>
      <c r="J789" s="156" t="s">
        <v>780</v>
      </c>
      <c r="K789" s="156" t="s">
        <v>379</v>
      </c>
      <c r="L789" s="157" t="s">
        <v>379</v>
      </c>
      <c r="M789" s="141" t="s">
        <v>79</v>
      </c>
      <c r="N789" s="156">
        <v>160</v>
      </c>
      <c r="O789" s="158">
        <v>96</v>
      </c>
      <c r="P789" s="158" t="s">
        <v>952</v>
      </c>
      <c r="Q789" s="159">
        <v>15360</v>
      </c>
      <c r="R789" s="154">
        <v>0</v>
      </c>
      <c r="S789" s="160">
        <v>0</v>
      </c>
      <c r="T789" s="56">
        <v>6644</v>
      </c>
      <c r="U789" s="56">
        <v>0</v>
      </c>
      <c r="V789" s="56">
        <v>0</v>
      </c>
      <c r="W789" s="56">
        <v>0</v>
      </c>
      <c r="X789" s="56">
        <v>0</v>
      </c>
      <c r="Y789" s="56">
        <v>8716</v>
      </c>
      <c r="Z789" s="56">
        <v>0</v>
      </c>
      <c r="AA789" s="56">
        <v>0</v>
      </c>
      <c r="AB789" s="56">
        <v>0</v>
      </c>
      <c r="AC789" s="56">
        <v>0</v>
      </c>
    </row>
    <row r="790" spans="1:29" s="4" customFormat="1" ht="30" customHeight="1" x14ac:dyDescent="0.3">
      <c r="A790" s="152" t="s">
        <v>947</v>
      </c>
      <c r="B790" s="153" t="s">
        <v>948</v>
      </c>
      <c r="C790" s="154" t="s">
        <v>69</v>
      </c>
      <c r="D790" s="154" t="s">
        <v>70</v>
      </c>
      <c r="E790" s="154">
        <v>119</v>
      </c>
      <c r="F790" s="154" t="s">
        <v>444</v>
      </c>
      <c r="G790" s="154">
        <v>25401</v>
      </c>
      <c r="H790" s="154" t="s">
        <v>485</v>
      </c>
      <c r="I790" s="155" t="s">
        <v>366</v>
      </c>
      <c r="J790" s="156" t="s">
        <v>486</v>
      </c>
      <c r="K790" s="156" t="s">
        <v>379</v>
      </c>
      <c r="L790" s="157" t="s">
        <v>379</v>
      </c>
      <c r="M790" s="141" t="s">
        <v>54</v>
      </c>
      <c r="N790" s="156">
        <v>978</v>
      </c>
      <c r="O790" s="158">
        <v>1.9969283999999998</v>
      </c>
      <c r="P790" s="158" t="s">
        <v>952</v>
      </c>
      <c r="Q790" s="159">
        <v>1952.9959751999997</v>
      </c>
      <c r="R790" s="154">
        <v>0</v>
      </c>
      <c r="S790" s="160">
        <v>0</v>
      </c>
      <c r="T790" s="56">
        <v>13.978498799999999</v>
      </c>
      <c r="U790" s="56">
        <v>0</v>
      </c>
      <c r="V790" s="56">
        <v>0</v>
      </c>
      <c r="W790" s="56">
        <v>0</v>
      </c>
      <c r="X790" s="56">
        <v>0</v>
      </c>
      <c r="Y790" s="56">
        <v>1939.0174763999999</v>
      </c>
      <c r="Z790" s="56">
        <v>0</v>
      </c>
      <c r="AA790" s="56">
        <v>0</v>
      </c>
      <c r="AB790" s="56">
        <v>0</v>
      </c>
      <c r="AC790" s="56">
        <v>0</v>
      </c>
    </row>
    <row r="791" spans="1:29" s="4" customFormat="1" ht="30" customHeight="1" x14ac:dyDescent="0.3">
      <c r="A791" s="152" t="s">
        <v>947</v>
      </c>
      <c r="B791" s="153" t="s">
        <v>948</v>
      </c>
      <c r="C791" s="154" t="s">
        <v>69</v>
      </c>
      <c r="D791" s="154" t="s">
        <v>70</v>
      </c>
      <c r="E791" s="154">
        <v>119</v>
      </c>
      <c r="F791" s="154" t="s">
        <v>444</v>
      </c>
      <c r="G791" s="154">
        <v>25401</v>
      </c>
      <c r="H791" s="154" t="s">
        <v>485</v>
      </c>
      <c r="I791" s="155" t="s">
        <v>791</v>
      </c>
      <c r="J791" s="156" t="s">
        <v>792</v>
      </c>
      <c r="K791" s="156" t="s">
        <v>379</v>
      </c>
      <c r="L791" s="157" t="s">
        <v>379</v>
      </c>
      <c r="M791" s="141" t="s">
        <v>54</v>
      </c>
      <c r="N791" s="156">
        <v>200</v>
      </c>
      <c r="O791" s="158">
        <v>20</v>
      </c>
      <c r="P791" s="158" t="s">
        <v>952</v>
      </c>
      <c r="Q791" s="159">
        <v>4000.0000000000005</v>
      </c>
      <c r="R791" s="154">
        <v>0</v>
      </c>
      <c r="S791" s="160">
        <v>0</v>
      </c>
      <c r="T791" s="56">
        <v>600</v>
      </c>
      <c r="U791" s="56">
        <v>0</v>
      </c>
      <c r="V791" s="56">
        <v>0</v>
      </c>
      <c r="W791" s="56">
        <v>0</v>
      </c>
      <c r="X791" s="56">
        <v>0</v>
      </c>
      <c r="Y791" s="56">
        <v>3400</v>
      </c>
      <c r="Z791" s="56">
        <v>0</v>
      </c>
      <c r="AA791" s="56">
        <v>0</v>
      </c>
      <c r="AB791" s="56">
        <v>0</v>
      </c>
      <c r="AC791" s="56">
        <v>0</v>
      </c>
    </row>
    <row r="792" spans="1:29" s="4" customFormat="1" ht="30" customHeight="1" x14ac:dyDescent="0.3">
      <c r="A792" s="152" t="s">
        <v>947</v>
      </c>
      <c r="B792" s="153" t="s">
        <v>948</v>
      </c>
      <c r="C792" s="154" t="s">
        <v>69</v>
      </c>
      <c r="D792" s="154" t="s">
        <v>70</v>
      </c>
      <c r="E792" s="154">
        <v>119</v>
      </c>
      <c r="F792" s="154" t="s">
        <v>444</v>
      </c>
      <c r="G792" s="154">
        <v>25401</v>
      </c>
      <c r="H792" s="154" t="s">
        <v>485</v>
      </c>
      <c r="I792" s="155" t="s">
        <v>1005</v>
      </c>
      <c r="J792" s="156" t="s">
        <v>454</v>
      </c>
      <c r="K792" s="156" t="s">
        <v>379</v>
      </c>
      <c r="L792" s="157" t="s">
        <v>379</v>
      </c>
      <c r="M792" s="141" t="s">
        <v>54</v>
      </c>
      <c r="N792" s="156">
        <v>7</v>
      </c>
      <c r="O792" s="158">
        <v>1089</v>
      </c>
      <c r="P792" s="158" t="s">
        <v>952</v>
      </c>
      <c r="Q792" s="159">
        <v>7623</v>
      </c>
      <c r="R792" s="154">
        <v>0</v>
      </c>
      <c r="S792" s="160">
        <v>0</v>
      </c>
      <c r="T792" s="56">
        <v>3267</v>
      </c>
      <c r="U792" s="56">
        <v>0</v>
      </c>
      <c r="V792" s="56">
        <v>0</v>
      </c>
      <c r="W792" s="56">
        <v>0</v>
      </c>
      <c r="X792" s="56">
        <v>0</v>
      </c>
      <c r="Y792" s="56">
        <v>4356</v>
      </c>
      <c r="Z792" s="56">
        <v>0</v>
      </c>
      <c r="AA792" s="56">
        <v>0</v>
      </c>
      <c r="AB792" s="56">
        <v>0</v>
      </c>
      <c r="AC792" s="56">
        <v>0</v>
      </c>
    </row>
    <row r="793" spans="1:29" s="4" customFormat="1" ht="30" customHeight="1" x14ac:dyDescent="0.3">
      <c r="A793" s="152" t="s">
        <v>947</v>
      </c>
      <c r="B793" s="153" t="s">
        <v>948</v>
      </c>
      <c r="C793" s="154" t="s">
        <v>69</v>
      </c>
      <c r="D793" s="154" t="s">
        <v>70</v>
      </c>
      <c r="E793" s="154">
        <v>119</v>
      </c>
      <c r="F793" s="154" t="s">
        <v>444</v>
      </c>
      <c r="G793" s="154">
        <v>25401</v>
      </c>
      <c r="H793" s="154" t="s">
        <v>485</v>
      </c>
      <c r="I793" s="155" t="s">
        <v>367</v>
      </c>
      <c r="J793" s="156" t="s">
        <v>487</v>
      </c>
      <c r="K793" s="156" t="s">
        <v>379</v>
      </c>
      <c r="L793" s="157" t="s">
        <v>379</v>
      </c>
      <c r="M793" s="141" t="s">
        <v>54</v>
      </c>
      <c r="N793" s="156">
        <v>90</v>
      </c>
      <c r="O793" s="158">
        <v>294</v>
      </c>
      <c r="P793" s="158" t="s">
        <v>952</v>
      </c>
      <c r="Q793" s="159">
        <v>26460.000000000004</v>
      </c>
      <c r="R793" s="154">
        <v>0</v>
      </c>
      <c r="S793" s="160">
        <v>0</v>
      </c>
      <c r="T793" s="56">
        <v>16758</v>
      </c>
      <c r="U793" s="56">
        <v>0</v>
      </c>
      <c r="V793" s="56">
        <v>0</v>
      </c>
      <c r="W793" s="56">
        <v>0</v>
      </c>
      <c r="X793" s="56">
        <v>0</v>
      </c>
      <c r="Y793" s="56">
        <v>9702</v>
      </c>
      <c r="Z793" s="56">
        <v>0</v>
      </c>
      <c r="AA793" s="56">
        <v>0</v>
      </c>
      <c r="AB793" s="56">
        <v>0</v>
      </c>
      <c r="AC793" s="56">
        <v>0</v>
      </c>
    </row>
    <row r="794" spans="1:29" s="4" customFormat="1" ht="30" customHeight="1" x14ac:dyDescent="0.3">
      <c r="A794" s="152" t="s">
        <v>947</v>
      </c>
      <c r="B794" s="153" t="s">
        <v>948</v>
      </c>
      <c r="C794" s="154" t="s">
        <v>69</v>
      </c>
      <c r="D794" s="154" t="s">
        <v>70</v>
      </c>
      <c r="E794" s="154">
        <v>119</v>
      </c>
      <c r="F794" s="154" t="s">
        <v>444</v>
      </c>
      <c r="G794" s="154">
        <v>26102</v>
      </c>
      <c r="H794" s="154" t="s">
        <v>570</v>
      </c>
      <c r="I794" s="155" t="s">
        <v>313</v>
      </c>
      <c r="J794" s="156" t="s">
        <v>571</v>
      </c>
      <c r="K794" s="156" t="s">
        <v>379</v>
      </c>
      <c r="L794" s="157" t="s">
        <v>379</v>
      </c>
      <c r="M794" s="141" t="s">
        <v>726</v>
      </c>
      <c r="N794" s="156">
        <v>12</v>
      </c>
      <c r="O794" s="158">
        <v>3804</v>
      </c>
      <c r="P794" s="158" t="s">
        <v>952</v>
      </c>
      <c r="Q794" s="159">
        <v>45648</v>
      </c>
      <c r="R794" s="154">
        <v>3804</v>
      </c>
      <c r="S794" s="160">
        <v>3804</v>
      </c>
      <c r="T794" s="56">
        <v>3804</v>
      </c>
      <c r="U794" s="56">
        <v>3804</v>
      </c>
      <c r="V794" s="56">
        <v>3804</v>
      </c>
      <c r="W794" s="56">
        <v>3804</v>
      </c>
      <c r="X794" s="56">
        <v>3804</v>
      </c>
      <c r="Y794" s="56">
        <v>3804</v>
      </c>
      <c r="Z794" s="56">
        <v>3804</v>
      </c>
      <c r="AA794" s="56">
        <v>3804</v>
      </c>
      <c r="AB794" s="56">
        <v>3804</v>
      </c>
      <c r="AC794" s="56">
        <v>3804</v>
      </c>
    </row>
    <row r="795" spans="1:29" s="4" customFormat="1" ht="30" customHeight="1" x14ac:dyDescent="0.3">
      <c r="A795" s="152" t="s">
        <v>947</v>
      </c>
      <c r="B795" s="153" t="s">
        <v>948</v>
      </c>
      <c r="C795" s="154" t="s">
        <v>948</v>
      </c>
      <c r="D795" s="154" t="s">
        <v>74</v>
      </c>
      <c r="E795" s="154" t="s">
        <v>572</v>
      </c>
      <c r="F795" s="154" t="s">
        <v>80</v>
      </c>
      <c r="G795" s="154">
        <v>21101</v>
      </c>
      <c r="H795" s="154" t="s">
        <v>950</v>
      </c>
      <c r="I795" s="155" t="s">
        <v>1006</v>
      </c>
      <c r="J795" s="156" t="s">
        <v>1007</v>
      </c>
      <c r="K795" s="156" t="s">
        <v>379</v>
      </c>
      <c r="L795" s="157" t="s">
        <v>379</v>
      </c>
      <c r="M795" s="141" t="s">
        <v>56</v>
      </c>
      <c r="N795" s="156">
        <v>2</v>
      </c>
      <c r="O795" s="158">
        <v>119.35239999999999</v>
      </c>
      <c r="P795" s="158" t="s">
        <v>952</v>
      </c>
      <c r="Q795" s="159">
        <v>238.70479999999998</v>
      </c>
      <c r="R795" s="154">
        <v>238.70479999999998</v>
      </c>
      <c r="S795" s="160">
        <v>0</v>
      </c>
      <c r="T795" s="56">
        <v>0</v>
      </c>
      <c r="U795" s="56">
        <v>0</v>
      </c>
      <c r="V795" s="56">
        <v>0</v>
      </c>
      <c r="W795" s="56">
        <v>0</v>
      </c>
      <c r="X795" s="56">
        <v>0</v>
      </c>
      <c r="Y795" s="56">
        <v>0</v>
      </c>
      <c r="Z795" s="56">
        <v>0</v>
      </c>
      <c r="AA795" s="56">
        <v>0</v>
      </c>
      <c r="AB795" s="56">
        <v>0</v>
      </c>
      <c r="AC795" s="56">
        <v>0</v>
      </c>
    </row>
    <row r="796" spans="1:29" s="4" customFormat="1" ht="30" customHeight="1" x14ac:dyDescent="0.3">
      <c r="A796" s="152" t="s">
        <v>947</v>
      </c>
      <c r="B796" s="153" t="s">
        <v>948</v>
      </c>
      <c r="C796" s="154" t="s">
        <v>948</v>
      </c>
      <c r="D796" s="154" t="s">
        <v>74</v>
      </c>
      <c r="E796" s="154" t="s">
        <v>455</v>
      </c>
      <c r="F796" s="154" t="s">
        <v>87</v>
      </c>
      <c r="G796" s="154">
        <v>21101</v>
      </c>
      <c r="H796" s="154" t="s">
        <v>950</v>
      </c>
      <c r="I796" s="155" t="s">
        <v>1008</v>
      </c>
      <c r="J796" s="156" t="s">
        <v>1009</v>
      </c>
      <c r="K796" s="156" t="s">
        <v>379</v>
      </c>
      <c r="L796" s="157" t="s">
        <v>379</v>
      </c>
      <c r="M796" s="141" t="s">
        <v>56</v>
      </c>
      <c r="N796" s="156">
        <v>1</v>
      </c>
      <c r="O796" s="158">
        <v>151.2176</v>
      </c>
      <c r="P796" s="158" t="s">
        <v>952</v>
      </c>
      <c r="Q796" s="159">
        <v>151.2176</v>
      </c>
      <c r="R796" s="154">
        <v>151.2176</v>
      </c>
      <c r="S796" s="160">
        <v>0</v>
      </c>
      <c r="T796" s="56">
        <v>0</v>
      </c>
      <c r="U796" s="56">
        <v>0</v>
      </c>
      <c r="V796" s="56">
        <v>0</v>
      </c>
      <c r="W796" s="56">
        <v>0</v>
      </c>
      <c r="X796" s="56">
        <v>0</v>
      </c>
      <c r="Y796" s="56">
        <v>0</v>
      </c>
      <c r="Z796" s="56">
        <v>0</v>
      </c>
      <c r="AA796" s="56">
        <v>0</v>
      </c>
      <c r="AB796" s="56">
        <v>0</v>
      </c>
      <c r="AC796" s="56">
        <v>0</v>
      </c>
    </row>
    <row r="797" spans="1:29" s="4" customFormat="1" ht="30" customHeight="1" x14ac:dyDescent="0.3">
      <c r="A797" s="152" t="s">
        <v>947</v>
      </c>
      <c r="B797" s="153" t="s">
        <v>948</v>
      </c>
      <c r="C797" s="154" t="s">
        <v>948</v>
      </c>
      <c r="D797" s="154" t="s">
        <v>74</v>
      </c>
      <c r="E797" s="154" t="s">
        <v>1010</v>
      </c>
      <c r="F797" s="154" t="s">
        <v>80</v>
      </c>
      <c r="G797" s="154">
        <v>21101</v>
      </c>
      <c r="H797" s="154" t="s">
        <v>950</v>
      </c>
      <c r="I797" s="155" t="s">
        <v>272</v>
      </c>
      <c r="J797" s="156" t="s">
        <v>33</v>
      </c>
      <c r="K797" s="156" t="s">
        <v>379</v>
      </c>
      <c r="L797" s="157" t="s">
        <v>379</v>
      </c>
      <c r="M797" s="141" t="s">
        <v>54</v>
      </c>
      <c r="N797" s="156">
        <v>24.000000000000004</v>
      </c>
      <c r="O797" s="158">
        <v>3.2943999999999996</v>
      </c>
      <c r="P797" s="158" t="s">
        <v>952</v>
      </c>
      <c r="Q797" s="159">
        <v>79.065600000000003</v>
      </c>
      <c r="R797" s="154">
        <v>49.415999999999997</v>
      </c>
      <c r="S797" s="160">
        <v>0</v>
      </c>
      <c r="T797" s="56">
        <v>0</v>
      </c>
      <c r="U797" s="56">
        <v>0</v>
      </c>
      <c r="V797" s="56">
        <v>0</v>
      </c>
      <c r="W797" s="56">
        <v>0</v>
      </c>
      <c r="X797" s="56">
        <v>0</v>
      </c>
      <c r="Y797" s="56">
        <v>0</v>
      </c>
      <c r="Z797" s="56">
        <v>0</v>
      </c>
      <c r="AA797" s="56">
        <v>0</v>
      </c>
      <c r="AB797" s="56">
        <v>0</v>
      </c>
      <c r="AC797" s="56">
        <v>29.649599999999996</v>
      </c>
    </row>
    <row r="798" spans="1:29" s="4" customFormat="1" ht="30" customHeight="1" x14ac:dyDescent="0.3">
      <c r="A798" s="152" t="s">
        <v>947</v>
      </c>
      <c r="B798" s="153" t="s">
        <v>948</v>
      </c>
      <c r="C798" s="154" t="s">
        <v>948</v>
      </c>
      <c r="D798" s="154" t="s">
        <v>74</v>
      </c>
      <c r="E798" s="154" t="s">
        <v>455</v>
      </c>
      <c r="F798" s="154" t="s">
        <v>87</v>
      </c>
      <c r="G798" s="154">
        <v>21101</v>
      </c>
      <c r="H798" s="154" t="s">
        <v>950</v>
      </c>
      <c r="I798" s="155" t="s">
        <v>800</v>
      </c>
      <c r="J798" s="156" t="s">
        <v>801</v>
      </c>
      <c r="K798" s="156" t="s">
        <v>379</v>
      </c>
      <c r="L798" s="157" t="s">
        <v>379</v>
      </c>
      <c r="M798" s="141" t="s">
        <v>54</v>
      </c>
      <c r="N798" s="156">
        <v>24.000000000000004</v>
      </c>
      <c r="O798" s="158">
        <v>3.2943999999999996</v>
      </c>
      <c r="P798" s="158" t="s">
        <v>952</v>
      </c>
      <c r="Q798" s="159">
        <v>79.065600000000003</v>
      </c>
      <c r="R798" s="154">
        <v>72.476799999999997</v>
      </c>
      <c r="S798" s="160">
        <v>0</v>
      </c>
      <c r="T798" s="56">
        <v>6.5887999999999991</v>
      </c>
      <c r="U798" s="56">
        <v>0</v>
      </c>
      <c r="V798" s="56">
        <v>0</v>
      </c>
      <c r="W798" s="56">
        <v>0</v>
      </c>
      <c r="X798" s="56">
        <v>0</v>
      </c>
      <c r="Y798" s="56">
        <v>0</v>
      </c>
      <c r="Z798" s="56">
        <v>0</v>
      </c>
      <c r="AA798" s="56">
        <v>0</v>
      </c>
      <c r="AB798" s="56">
        <v>0</v>
      </c>
      <c r="AC798" s="56">
        <v>0</v>
      </c>
    </row>
    <row r="799" spans="1:29" s="4" customFormat="1" ht="30" customHeight="1" x14ac:dyDescent="0.3">
      <c r="A799" s="152" t="s">
        <v>947</v>
      </c>
      <c r="B799" s="153" t="s">
        <v>948</v>
      </c>
      <c r="C799" s="154" t="s">
        <v>948</v>
      </c>
      <c r="D799" s="154" t="s">
        <v>74</v>
      </c>
      <c r="E799" s="154" t="s">
        <v>1010</v>
      </c>
      <c r="F799" s="154" t="s">
        <v>80</v>
      </c>
      <c r="G799" s="154">
        <v>21101</v>
      </c>
      <c r="H799" s="154" t="s">
        <v>950</v>
      </c>
      <c r="I799" s="155" t="s">
        <v>274</v>
      </c>
      <c r="J799" s="156" t="s">
        <v>1011</v>
      </c>
      <c r="K799" s="156" t="s">
        <v>379</v>
      </c>
      <c r="L799" s="157" t="s">
        <v>379</v>
      </c>
      <c r="M799" s="141" t="s">
        <v>54</v>
      </c>
      <c r="N799" s="156">
        <v>13.999615790990299</v>
      </c>
      <c r="O799" s="158">
        <v>4.1643999999999997</v>
      </c>
      <c r="P799" s="158" t="s">
        <v>952</v>
      </c>
      <c r="Q799" s="159">
        <v>58.3</v>
      </c>
      <c r="R799" s="154">
        <v>4.1643999999999997</v>
      </c>
      <c r="S799" s="160">
        <v>0</v>
      </c>
      <c r="T799" s="56">
        <v>0</v>
      </c>
      <c r="U799" s="56">
        <v>0</v>
      </c>
      <c r="V799" s="56">
        <v>0</v>
      </c>
      <c r="W799" s="56">
        <v>4.1643999999999997</v>
      </c>
      <c r="X799" s="56">
        <v>30</v>
      </c>
      <c r="Y799" s="56">
        <v>0</v>
      </c>
      <c r="Z799" s="56">
        <v>12.493199999999998</v>
      </c>
      <c r="AA799" s="56">
        <v>0</v>
      </c>
      <c r="AB799" s="56">
        <v>0</v>
      </c>
      <c r="AC799" s="56">
        <v>8.3287999999999993</v>
      </c>
    </row>
    <row r="800" spans="1:29" s="4" customFormat="1" ht="30" customHeight="1" x14ac:dyDescent="0.3">
      <c r="A800" s="152" t="s">
        <v>947</v>
      </c>
      <c r="B800" s="153" t="s">
        <v>948</v>
      </c>
      <c r="C800" s="154" t="s">
        <v>948</v>
      </c>
      <c r="D800" s="154" t="s">
        <v>74</v>
      </c>
      <c r="E800" s="154" t="s">
        <v>455</v>
      </c>
      <c r="F800" s="154" t="s">
        <v>87</v>
      </c>
      <c r="G800" s="154">
        <v>21101</v>
      </c>
      <c r="H800" s="154" t="s">
        <v>950</v>
      </c>
      <c r="I800" s="155" t="s">
        <v>299</v>
      </c>
      <c r="J800" s="156" t="s">
        <v>867</v>
      </c>
      <c r="K800" s="156" t="s">
        <v>379</v>
      </c>
      <c r="L800" s="157" t="s">
        <v>379</v>
      </c>
      <c r="M800" s="141" t="s">
        <v>56</v>
      </c>
      <c r="N800" s="156">
        <v>3</v>
      </c>
      <c r="O800" s="158">
        <v>247.69479999999999</v>
      </c>
      <c r="P800" s="158" t="s">
        <v>952</v>
      </c>
      <c r="Q800" s="159">
        <v>743.08439999999996</v>
      </c>
      <c r="R800" s="154">
        <v>0</v>
      </c>
      <c r="S800" s="160">
        <v>0</v>
      </c>
      <c r="T800" s="56">
        <v>0</v>
      </c>
      <c r="U800" s="56">
        <v>0</v>
      </c>
      <c r="V800" s="56">
        <v>0</v>
      </c>
      <c r="W800" s="56">
        <v>0</v>
      </c>
      <c r="X800" s="56">
        <v>495.38959999999997</v>
      </c>
      <c r="Y800" s="56">
        <v>0</v>
      </c>
      <c r="Z800" s="56">
        <v>0</v>
      </c>
      <c r="AA800" s="56">
        <v>0</v>
      </c>
      <c r="AB800" s="56">
        <v>0</v>
      </c>
      <c r="AC800" s="56">
        <v>247.69479999999999</v>
      </c>
    </row>
    <row r="801" spans="1:29" s="4" customFormat="1" ht="30" customHeight="1" x14ac:dyDescent="0.3">
      <c r="A801" s="152" t="s">
        <v>947</v>
      </c>
      <c r="B801" s="153" t="s">
        <v>948</v>
      </c>
      <c r="C801" s="154" t="s">
        <v>948</v>
      </c>
      <c r="D801" s="154" t="s">
        <v>74</v>
      </c>
      <c r="E801" s="154" t="s">
        <v>455</v>
      </c>
      <c r="F801" s="154" t="s">
        <v>87</v>
      </c>
      <c r="G801" s="154">
        <v>21101</v>
      </c>
      <c r="H801" s="154" t="s">
        <v>950</v>
      </c>
      <c r="I801" s="155" t="s">
        <v>266</v>
      </c>
      <c r="J801" s="156" t="s">
        <v>105</v>
      </c>
      <c r="K801" s="156" t="s">
        <v>379</v>
      </c>
      <c r="L801" s="157" t="s">
        <v>379</v>
      </c>
      <c r="M801" s="141" t="s">
        <v>56</v>
      </c>
      <c r="N801" s="156">
        <v>2.0000000000000004</v>
      </c>
      <c r="O801" s="158">
        <v>116.11599999999999</v>
      </c>
      <c r="P801" s="158" t="s">
        <v>952</v>
      </c>
      <c r="Q801" s="159">
        <v>232.232</v>
      </c>
      <c r="R801" s="154">
        <v>0</v>
      </c>
      <c r="S801" s="160">
        <v>0</v>
      </c>
      <c r="T801" s="56">
        <v>0</v>
      </c>
      <c r="U801" s="56">
        <v>0</v>
      </c>
      <c r="V801" s="56">
        <v>0</v>
      </c>
      <c r="W801" s="56">
        <v>0</v>
      </c>
      <c r="X801" s="56">
        <v>232.23199999999997</v>
      </c>
      <c r="Y801" s="56">
        <v>0</v>
      </c>
      <c r="Z801" s="56">
        <v>0</v>
      </c>
      <c r="AA801" s="56">
        <v>0</v>
      </c>
      <c r="AB801" s="56">
        <v>0</v>
      </c>
      <c r="AC801" s="56">
        <v>0</v>
      </c>
    </row>
    <row r="802" spans="1:29" s="4" customFormat="1" ht="30" customHeight="1" x14ac:dyDescent="0.3">
      <c r="A802" s="152" t="s">
        <v>947</v>
      </c>
      <c r="B802" s="153" t="s">
        <v>948</v>
      </c>
      <c r="C802" s="154" t="s">
        <v>948</v>
      </c>
      <c r="D802" s="154" t="s">
        <v>74</v>
      </c>
      <c r="E802" s="154" t="s">
        <v>455</v>
      </c>
      <c r="F802" s="154" t="s">
        <v>87</v>
      </c>
      <c r="G802" s="154">
        <v>21101</v>
      </c>
      <c r="H802" s="154" t="s">
        <v>950</v>
      </c>
      <c r="I802" s="155" t="s">
        <v>314</v>
      </c>
      <c r="J802" s="156" t="s">
        <v>389</v>
      </c>
      <c r="K802" s="156" t="s">
        <v>379</v>
      </c>
      <c r="L802" s="157" t="s">
        <v>379</v>
      </c>
      <c r="M802" s="141" t="s">
        <v>56</v>
      </c>
      <c r="N802" s="156">
        <v>1</v>
      </c>
      <c r="O802" s="158">
        <v>151.20599999999999</v>
      </c>
      <c r="P802" s="158" t="s">
        <v>952</v>
      </c>
      <c r="Q802" s="159">
        <v>151.20599999999999</v>
      </c>
      <c r="R802" s="154">
        <v>0</v>
      </c>
      <c r="S802" s="160">
        <v>0</v>
      </c>
      <c r="T802" s="56">
        <v>0</v>
      </c>
      <c r="U802" s="56">
        <v>0</v>
      </c>
      <c r="V802" s="56">
        <v>0</v>
      </c>
      <c r="W802" s="56">
        <v>0</v>
      </c>
      <c r="X802" s="56">
        <v>0</v>
      </c>
      <c r="Y802" s="56">
        <v>0</v>
      </c>
      <c r="Z802" s="56">
        <v>0</v>
      </c>
      <c r="AA802" s="56">
        <v>0</v>
      </c>
      <c r="AB802" s="56">
        <v>0</v>
      </c>
      <c r="AC802" s="56">
        <v>151.20599999999999</v>
      </c>
    </row>
    <row r="803" spans="1:29" s="4" customFormat="1" ht="30" customHeight="1" x14ac:dyDescent="0.3">
      <c r="A803" s="152" t="s">
        <v>947</v>
      </c>
      <c r="B803" s="153" t="s">
        <v>948</v>
      </c>
      <c r="C803" s="154" t="s">
        <v>948</v>
      </c>
      <c r="D803" s="154" t="s">
        <v>74</v>
      </c>
      <c r="E803" s="154" t="s">
        <v>455</v>
      </c>
      <c r="F803" s="154" t="s">
        <v>87</v>
      </c>
      <c r="G803" s="154">
        <v>21101</v>
      </c>
      <c r="H803" s="154" t="s">
        <v>950</v>
      </c>
      <c r="I803" s="155" t="s">
        <v>272</v>
      </c>
      <c r="J803" s="156" t="s">
        <v>33</v>
      </c>
      <c r="K803" s="156" t="s">
        <v>379</v>
      </c>
      <c r="L803" s="157" t="s">
        <v>379</v>
      </c>
      <c r="M803" s="141" t="s">
        <v>54</v>
      </c>
      <c r="N803" s="156">
        <v>22.000000000000004</v>
      </c>
      <c r="O803" s="158">
        <v>3.2943999999999996</v>
      </c>
      <c r="P803" s="158" t="s">
        <v>952</v>
      </c>
      <c r="Q803" s="159">
        <v>72.476799999999997</v>
      </c>
      <c r="R803" s="154">
        <v>0</v>
      </c>
      <c r="S803" s="160">
        <v>0</v>
      </c>
      <c r="T803" s="56">
        <v>0</v>
      </c>
      <c r="U803" s="56">
        <v>0</v>
      </c>
      <c r="V803" s="56">
        <v>0</v>
      </c>
      <c r="W803" s="56">
        <v>9.8831999999999987</v>
      </c>
      <c r="X803" s="56">
        <v>62.593599999999995</v>
      </c>
      <c r="Y803" s="56">
        <v>0</v>
      </c>
      <c r="Z803" s="56">
        <v>0</v>
      </c>
      <c r="AA803" s="56">
        <v>0</v>
      </c>
      <c r="AB803" s="56">
        <v>0</v>
      </c>
      <c r="AC803" s="56">
        <v>0</v>
      </c>
    </row>
    <row r="804" spans="1:29" s="4" customFormat="1" ht="30" customHeight="1" x14ac:dyDescent="0.3">
      <c r="A804" s="152" t="s">
        <v>947</v>
      </c>
      <c r="B804" s="153" t="s">
        <v>948</v>
      </c>
      <c r="C804" s="154" t="s">
        <v>948</v>
      </c>
      <c r="D804" s="154" t="s">
        <v>74</v>
      </c>
      <c r="E804" s="154" t="s">
        <v>455</v>
      </c>
      <c r="F804" s="154" t="s">
        <v>87</v>
      </c>
      <c r="G804" s="154" t="s">
        <v>1012</v>
      </c>
      <c r="H804" s="154" t="s">
        <v>950</v>
      </c>
      <c r="I804" s="155" t="s">
        <v>951</v>
      </c>
      <c r="J804" s="156" t="s">
        <v>813</v>
      </c>
      <c r="K804" s="156" t="s">
        <v>379</v>
      </c>
      <c r="L804" s="157" t="s">
        <v>379</v>
      </c>
      <c r="M804" s="141" t="s">
        <v>55</v>
      </c>
      <c r="N804" s="156">
        <v>20.99832</v>
      </c>
      <c r="O804" s="158">
        <v>40</v>
      </c>
      <c r="P804" s="158" t="s">
        <v>952</v>
      </c>
      <c r="Q804" s="159">
        <v>839.93280000000004</v>
      </c>
      <c r="R804" s="154">
        <v>80</v>
      </c>
      <c r="S804" s="160">
        <v>0</v>
      </c>
      <c r="T804" s="56">
        <v>0</v>
      </c>
      <c r="U804" s="56">
        <v>0</v>
      </c>
      <c r="V804" s="56">
        <v>0</v>
      </c>
      <c r="W804" s="56">
        <v>0</v>
      </c>
      <c r="X804" s="56">
        <v>80</v>
      </c>
      <c r="Y804" s="56">
        <v>0</v>
      </c>
      <c r="Z804" s="56">
        <v>0</v>
      </c>
      <c r="AA804" s="56">
        <v>0</v>
      </c>
      <c r="AB804" s="56">
        <v>0</v>
      </c>
      <c r="AC804" s="56">
        <v>680</v>
      </c>
    </row>
    <row r="805" spans="1:29" s="4" customFormat="1" ht="30" customHeight="1" x14ac:dyDescent="0.3">
      <c r="A805" s="152" t="s">
        <v>947</v>
      </c>
      <c r="B805" s="153" t="s">
        <v>948</v>
      </c>
      <c r="C805" s="154" t="s">
        <v>948</v>
      </c>
      <c r="D805" s="154" t="s">
        <v>74</v>
      </c>
      <c r="E805" s="154" t="s">
        <v>455</v>
      </c>
      <c r="F805" s="154" t="s">
        <v>87</v>
      </c>
      <c r="G805" s="154" t="s">
        <v>1012</v>
      </c>
      <c r="H805" s="154" t="s">
        <v>950</v>
      </c>
      <c r="I805" s="155" t="s">
        <v>270</v>
      </c>
      <c r="J805" s="156" t="s">
        <v>35</v>
      </c>
      <c r="K805" s="156" t="s">
        <v>379</v>
      </c>
      <c r="L805" s="157" t="s">
        <v>379</v>
      </c>
      <c r="M805" s="141" t="s">
        <v>54</v>
      </c>
      <c r="N805" s="156">
        <v>11.994399999999999</v>
      </c>
      <c r="O805" s="158">
        <v>12</v>
      </c>
      <c r="P805" s="158" t="s">
        <v>952</v>
      </c>
      <c r="Q805" s="159">
        <v>143.93279999999999</v>
      </c>
      <c r="R805" s="154">
        <v>0</v>
      </c>
      <c r="S805" s="160">
        <v>0</v>
      </c>
      <c r="T805" s="56">
        <v>0</v>
      </c>
      <c r="U805" s="56">
        <v>0</v>
      </c>
      <c r="V805" s="56">
        <v>0</v>
      </c>
      <c r="W805" s="56">
        <v>0</v>
      </c>
      <c r="X805" s="56">
        <v>0</v>
      </c>
      <c r="Y805" s="56">
        <v>0</v>
      </c>
      <c r="Z805" s="56">
        <v>0</v>
      </c>
      <c r="AA805" s="56">
        <v>0</v>
      </c>
      <c r="AB805" s="56">
        <v>0</v>
      </c>
      <c r="AC805" s="56">
        <v>144</v>
      </c>
    </row>
    <row r="806" spans="1:29" s="4" customFormat="1" ht="30" customHeight="1" x14ac:dyDescent="0.3">
      <c r="A806" s="152" t="s">
        <v>947</v>
      </c>
      <c r="B806" s="153" t="s">
        <v>948</v>
      </c>
      <c r="C806" s="154" t="s">
        <v>948</v>
      </c>
      <c r="D806" s="154" t="s">
        <v>74</v>
      </c>
      <c r="E806" s="154" t="s">
        <v>455</v>
      </c>
      <c r="F806" s="154" t="s">
        <v>87</v>
      </c>
      <c r="G806" s="154" t="s">
        <v>1012</v>
      </c>
      <c r="H806" s="154" t="s">
        <v>950</v>
      </c>
      <c r="I806" s="155" t="s">
        <v>835</v>
      </c>
      <c r="J806" s="156" t="s">
        <v>836</v>
      </c>
      <c r="K806" s="156" t="s">
        <v>379</v>
      </c>
      <c r="L806" s="157" t="s">
        <v>379</v>
      </c>
      <c r="M806" s="141" t="s">
        <v>54</v>
      </c>
      <c r="N806" s="156">
        <v>9.9997272727272719</v>
      </c>
      <c r="O806" s="158">
        <v>44</v>
      </c>
      <c r="P806" s="158" t="s">
        <v>952</v>
      </c>
      <c r="Q806" s="159">
        <v>439.988</v>
      </c>
      <c r="R806" s="154">
        <v>0</v>
      </c>
      <c r="S806" s="160">
        <v>0</v>
      </c>
      <c r="T806" s="56">
        <v>0</v>
      </c>
      <c r="U806" s="56">
        <v>0</v>
      </c>
      <c r="V806" s="56">
        <v>0</v>
      </c>
      <c r="W806" s="56">
        <v>0</v>
      </c>
      <c r="X806" s="56">
        <v>0</v>
      </c>
      <c r="Y806" s="56">
        <v>0</v>
      </c>
      <c r="Z806" s="56">
        <v>0</v>
      </c>
      <c r="AA806" s="56">
        <v>0</v>
      </c>
      <c r="AB806" s="56">
        <v>0</v>
      </c>
      <c r="AC806" s="56">
        <v>440</v>
      </c>
    </row>
    <row r="807" spans="1:29" s="4" customFormat="1" ht="30" customHeight="1" x14ac:dyDescent="0.3">
      <c r="A807" s="152" t="s">
        <v>947</v>
      </c>
      <c r="B807" s="153" t="s">
        <v>948</v>
      </c>
      <c r="C807" s="154" t="s">
        <v>948</v>
      </c>
      <c r="D807" s="154" t="s">
        <v>74</v>
      </c>
      <c r="E807" s="154" t="s">
        <v>455</v>
      </c>
      <c r="F807" s="154" t="s">
        <v>87</v>
      </c>
      <c r="G807" s="154" t="s">
        <v>1012</v>
      </c>
      <c r="H807" s="154" t="s">
        <v>950</v>
      </c>
      <c r="I807" s="155" t="s">
        <v>279</v>
      </c>
      <c r="J807" s="156" t="s">
        <v>528</v>
      </c>
      <c r="K807" s="156" t="s">
        <v>379</v>
      </c>
      <c r="L807" s="157" t="s">
        <v>379</v>
      </c>
      <c r="M807" s="141" t="s">
        <v>54</v>
      </c>
      <c r="N807" s="156">
        <v>4.0003278688524588</v>
      </c>
      <c r="O807" s="158">
        <v>61</v>
      </c>
      <c r="P807" s="158" t="s">
        <v>952</v>
      </c>
      <c r="Q807" s="159">
        <v>244.02</v>
      </c>
      <c r="R807" s="154">
        <v>244</v>
      </c>
      <c r="S807" s="160">
        <v>0</v>
      </c>
      <c r="T807" s="56">
        <v>0</v>
      </c>
      <c r="U807" s="56">
        <v>0</v>
      </c>
      <c r="V807" s="56">
        <v>0</v>
      </c>
      <c r="W807" s="56">
        <v>0</v>
      </c>
      <c r="X807" s="56">
        <v>0</v>
      </c>
      <c r="Y807" s="56">
        <v>0</v>
      </c>
      <c r="Z807" s="56">
        <v>0</v>
      </c>
      <c r="AA807" s="56">
        <v>0</v>
      </c>
      <c r="AB807" s="56">
        <v>0</v>
      </c>
      <c r="AC807" s="56">
        <v>0</v>
      </c>
    </row>
    <row r="808" spans="1:29" s="4" customFormat="1" ht="30" customHeight="1" x14ac:dyDescent="0.3">
      <c r="A808" s="152" t="s">
        <v>947</v>
      </c>
      <c r="B808" s="153" t="s">
        <v>948</v>
      </c>
      <c r="C808" s="154" t="s">
        <v>948</v>
      </c>
      <c r="D808" s="154" t="s">
        <v>74</v>
      </c>
      <c r="E808" s="154" t="s">
        <v>455</v>
      </c>
      <c r="F808" s="154" t="s">
        <v>87</v>
      </c>
      <c r="G808" s="154" t="s">
        <v>1012</v>
      </c>
      <c r="H808" s="154" t="s">
        <v>950</v>
      </c>
      <c r="I808" s="155" t="s">
        <v>953</v>
      </c>
      <c r="J808" s="156" t="s">
        <v>954</v>
      </c>
      <c r="K808" s="156" t="s">
        <v>379</v>
      </c>
      <c r="L808" s="157" t="s">
        <v>379</v>
      </c>
      <c r="M808" s="141" t="s">
        <v>54</v>
      </c>
      <c r="N808" s="156">
        <v>4.9996</v>
      </c>
      <c r="O808" s="158">
        <v>65</v>
      </c>
      <c r="P808" s="158" t="s">
        <v>952</v>
      </c>
      <c r="Q808" s="159">
        <v>324.97399999999999</v>
      </c>
      <c r="R808" s="154">
        <v>0</v>
      </c>
      <c r="S808" s="160">
        <v>0</v>
      </c>
      <c r="T808" s="56">
        <v>0</v>
      </c>
      <c r="U808" s="56">
        <v>0</v>
      </c>
      <c r="V808" s="56">
        <v>0</v>
      </c>
      <c r="W808" s="56">
        <v>0</v>
      </c>
      <c r="X808" s="56">
        <v>0</v>
      </c>
      <c r="Y808" s="56">
        <v>0</v>
      </c>
      <c r="Z808" s="56">
        <v>0</v>
      </c>
      <c r="AA808" s="56">
        <v>0</v>
      </c>
      <c r="AB808" s="56">
        <v>0</v>
      </c>
      <c r="AC808" s="56">
        <v>325</v>
      </c>
    </row>
    <row r="809" spans="1:29" s="4" customFormat="1" ht="30" customHeight="1" x14ac:dyDescent="0.3">
      <c r="A809" s="152" t="s">
        <v>947</v>
      </c>
      <c r="B809" s="153" t="s">
        <v>948</v>
      </c>
      <c r="C809" s="154" t="s">
        <v>948</v>
      </c>
      <c r="D809" s="154" t="s">
        <v>74</v>
      </c>
      <c r="E809" s="154" t="s">
        <v>455</v>
      </c>
      <c r="F809" s="154" t="s">
        <v>87</v>
      </c>
      <c r="G809" s="154" t="s">
        <v>1012</v>
      </c>
      <c r="H809" s="154" t="s">
        <v>950</v>
      </c>
      <c r="I809" s="155" t="s">
        <v>264</v>
      </c>
      <c r="J809" s="156" t="s">
        <v>37</v>
      </c>
      <c r="K809" s="156" t="s">
        <v>379</v>
      </c>
      <c r="L809" s="157" t="s">
        <v>379</v>
      </c>
      <c r="M809" s="141" t="s">
        <v>54</v>
      </c>
      <c r="N809" s="156">
        <v>5</v>
      </c>
      <c r="O809" s="158">
        <v>23</v>
      </c>
      <c r="P809" s="158" t="s">
        <v>952</v>
      </c>
      <c r="Q809" s="159">
        <v>115</v>
      </c>
      <c r="R809" s="154">
        <v>0</v>
      </c>
      <c r="S809" s="160">
        <v>0</v>
      </c>
      <c r="T809" s="56">
        <v>0</v>
      </c>
      <c r="U809" s="56">
        <v>0</v>
      </c>
      <c r="V809" s="56">
        <v>0</v>
      </c>
      <c r="W809" s="56">
        <v>0</v>
      </c>
      <c r="X809" s="56">
        <v>0</v>
      </c>
      <c r="Y809" s="56">
        <v>0</v>
      </c>
      <c r="Z809" s="56">
        <v>0</v>
      </c>
      <c r="AA809" s="56">
        <v>0</v>
      </c>
      <c r="AB809" s="56">
        <v>0</v>
      </c>
      <c r="AC809" s="56">
        <v>115</v>
      </c>
    </row>
    <row r="810" spans="1:29" s="4" customFormat="1" ht="30" customHeight="1" x14ac:dyDescent="0.3">
      <c r="A810" s="152" t="s">
        <v>947</v>
      </c>
      <c r="B810" s="153" t="s">
        <v>948</v>
      </c>
      <c r="C810" s="154" t="s">
        <v>948</v>
      </c>
      <c r="D810" s="154" t="s">
        <v>74</v>
      </c>
      <c r="E810" s="154" t="s">
        <v>455</v>
      </c>
      <c r="F810" s="154" t="s">
        <v>87</v>
      </c>
      <c r="G810" s="154" t="s">
        <v>1012</v>
      </c>
      <c r="H810" s="154" t="s">
        <v>950</v>
      </c>
      <c r="I810" s="155" t="s">
        <v>955</v>
      </c>
      <c r="J810" s="156" t="s">
        <v>956</v>
      </c>
      <c r="K810" s="156" t="s">
        <v>379</v>
      </c>
      <c r="L810" s="157" t="s">
        <v>379</v>
      </c>
      <c r="M810" s="141" t="s">
        <v>54</v>
      </c>
      <c r="N810" s="156">
        <v>4</v>
      </c>
      <c r="O810" s="158">
        <v>23</v>
      </c>
      <c r="P810" s="158" t="s">
        <v>952</v>
      </c>
      <c r="Q810" s="159">
        <v>92</v>
      </c>
      <c r="R810" s="154">
        <v>0</v>
      </c>
      <c r="S810" s="160">
        <v>0</v>
      </c>
      <c r="T810" s="56">
        <v>0</v>
      </c>
      <c r="U810" s="56">
        <v>0</v>
      </c>
      <c r="V810" s="56">
        <v>0</v>
      </c>
      <c r="W810" s="56">
        <v>0</v>
      </c>
      <c r="X810" s="56">
        <v>0</v>
      </c>
      <c r="Y810" s="56">
        <v>0</v>
      </c>
      <c r="Z810" s="56">
        <v>0</v>
      </c>
      <c r="AA810" s="56">
        <v>0</v>
      </c>
      <c r="AB810" s="56">
        <v>0</v>
      </c>
      <c r="AC810" s="56">
        <v>92</v>
      </c>
    </row>
    <row r="811" spans="1:29" s="4" customFormat="1" ht="30" customHeight="1" x14ac:dyDescent="0.3">
      <c r="A811" s="152" t="s">
        <v>947</v>
      </c>
      <c r="B811" s="153" t="s">
        <v>948</v>
      </c>
      <c r="C811" s="154" t="s">
        <v>948</v>
      </c>
      <c r="D811" s="154" t="s">
        <v>74</v>
      </c>
      <c r="E811" s="154" t="s">
        <v>455</v>
      </c>
      <c r="F811" s="154" t="s">
        <v>87</v>
      </c>
      <c r="G811" s="154" t="s">
        <v>1012</v>
      </c>
      <c r="H811" s="154" t="s">
        <v>950</v>
      </c>
      <c r="I811" s="155" t="s">
        <v>957</v>
      </c>
      <c r="J811" s="156" t="s">
        <v>958</v>
      </c>
      <c r="K811" s="156" t="s">
        <v>379</v>
      </c>
      <c r="L811" s="157" t="s">
        <v>379</v>
      </c>
      <c r="M811" s="141" t="s">
        <v>54</v>
      </c>
      <c r="N811" s="156">
        <v>8</v>
      </c>
      <c r="O811" s="158">
        <v>12</v>
      </c>
      <c r="P811" s="158" t="s">
        <v>952</v>
      </c>
      <c r="Q811" s="159">
        <v>96</v>
      </c>
      <c r="R811" s="154">
        <v>0</v>
      </c>
      <c r="S811" s="160">
        <v>0</v>
      </c>
      <c r="T811" s="56">
        <v>0</v>
      </c>
      <c r="U811" s="56">
        <v>0</v>
      </c>
      <c r="V811" s="56">
        <v>0</v>
      </c>
      <c r="W811" s="56">
        <v>0</v>
      </c>
      <c r="X811" s="56">
        <v>0</v>
      </c>
      <c r="Y811" s="56">
        <v>0</v>
      </c>
      <c r="Z811" s="56">
        <v>0</v>
      </c>
      <c r="AA811" s="56">
        <v>0</v>
      </c>
      <c r="AB811" s="56">
        <v>0</v>
      </c>
      <c r="AC811" s="56">
        <v>89</v>
      </c>
    </row>
    <row r="812" spans="1:29" s="4" customFormat="1" ht="30" customHeight="1" x14ac:dyDescent="0.3">
      <c r="A812" s="152" t="s">
        <v>947</v>
      </c>
      <c r="B812" s="153" t="s">
        <v>948</v>
      </c>
      <c r="C812" s="154" t="s">
        <v>948</v>
      </c>
      <c r="D812" s="154" t="s">
        <v>74</v>
      </c>
      <c r="E812" s="154" t="s">
        <v>455</v>
      </c>
      <c r="F812" s="154" t="s">
        <v>87</v>
      </c>
      <c r="G812" s="154">
        <v>21101</v>
      </c>
      <c r="H812" s="154" t="s">
        <v>950</v>
      </c>
      <c r="I812" s="155" t="s">
        <v>959</v>
      </c>
      <c r="J812" s="156" t="s">
        <v>960</v>
      </c>
      <c r="K812" s="156" t="s">
        <v>379</v>
      </c>
      <c r="L812" s="157" t="s">
        <v>379</v>
      </c>
      <c r="M812" s="141" t="s">
        <v>54</v>
      </c>
      <c r="N812" s="156">
        <v>8</v>
      </c>
      <c r="O812" s="158">
        <v>21</v>
      </c>
      <c r="P812" s="158" t="s">
        <v>952</v>
      </c>
      <c r="Q812" s="159">
        <v>168</v>
      </c>
      <c r="R812" s="154">
        <v>0</v>
      </c>
      <c r="S812" s="160">
        <v>0</v>
      </c>
      <c r="T812" s="56">
        <v>0</v>
      </c>
      <c r="U812" s="56">
        <v>0</v>
      </c>
      <c r="V812" s="56">
        <v>0</v>
      </c>
      <c r="W812" s="56">
        <v>0</v>
      </c>
      <c r="X812" s="56">
        <v>0</v>
      </c>
      <c r="Y812" s="56">
        <v>0</v>
      </c>
      <c r="Z812" s="56">
        <v>168</v>
      </c>
      <c r="AA812" s="56">
        <v>0</v>
      </c>
      <c r="AB812" s="56">
        <v>0</v>
      </c>
      <c r="AC812" s="56">
        <v>0</v>
      </c>
    </row>
    <row r="813" spans="1:29" s="4" customFormat="1" ht="30" customHeight="1" x14ac:dyDescent="0.3">
      <c r="A813" s="152" t="s">
        <v>947</v>
      </c>
      <c r="B813" s="153" t="s">
        <v>948</v>
      </c>
      <c r="C813" s="154" t="s">
        <v>948</v>
      </c>
      <c r="D813" s="154" t="s">
        <v>74</v>
      </c>
      <c r="E813" s="154" t="s">
        <v>455</v>
      </c>
      <c r="F813" s="154" t="s">
        <v>87</v>
      </c>
      <c r="G813" s="154">
        <v>21101</v>
      </c>
      <c r="H813" s="154" t="s">
        <v>950</v>
      </c>
      <c r="I813" s="155" t="s">
        <v>255</v>
      </c>
      <c r="J813" s="156" t="s">
        <v>40</v>
      </c>
      <c r="K813" s="156" t="s">
        <v>379</v>
      </c>
      <c r="L813" s="157" t="s">
        <v>379</v>
      </c>
      <c r="M813" s="141" t="s">
        <v>54</v>
      </c>
      <c r="N813" s="156">
        <v>6.9994400000000008</v>
      </c>
      <c r="O813" s="158">
        <v>15</v>
      </c>
      <c r="P813" s="158" t="s">
        <v>952</v>
      </c>
      <c r="Q813" s="159">
        <v>104.99160000000001</v>
      </c>
      <c r="R813" s="154">
        <v>0</v>
      </c>
      <c r="S813" s="160">
        <v>0</v>
      </c>
      <c r="T813" s="56">
        <v>0</v>
      </c>
      <c r="U813" s="56">
        <v>0</v>
      </c>
      <c r="V813" s="56">
        <v>0</v>
      </c>
      <c r="W813" s="56">
        <v>0</v>
      </c>
      <c r="X813" s="56">
        <v>0</v>
      </c>
      <c r="Y813" s="56">
        <v>0</v>
      </c>
      <c r="Z813" s="56">
        <v>105</v>
      </c>
      <c r="AA813" s="56">
        <v>0</v>
      </c>
      <c r="AB813" s="56">
        <v>0</v>
      </c>
      <c r="AC813" s="56">
        <v>0</v>
      </c>
    </row>
    <row r="814" spans="1:29" s="4" customFormat="1" ht="30" customHeight="1" x14ac:dyDescent="0.3">
      <c r="A814" s="152" t="s">
        <v>947</v>
      </c>
      <c r="B814" s="153" t="s">
        <v>948</v>
      </c>
      <c r="C814" s="154" t="s">
        <v>948</v>
      </c>
      <c r="D814" s="154" t="s">
        <v>74</v>
      </c>
      <c r="E814" s="154" t="s">
        <v>455</v>
      </c>
      <c r="F814" s="154" t="s">
        <v>87</v>
      </c>
      <c r="G814" s="154">
        <v>21101</v>
      </c>
      <c r="H814" s="154" t="s">
        <v>950</v>
      </c>
      <c r="I814" s="155" t="s">
        <v>847</v>
      </c>
      <c r="J814" s="156" t="s">
        <v>848</v>
      </c>
      <c r="K814" s="156" t="s">
        <v>379</v>
      </c>
      <c r="L814" s="157" t="s">
        <v>379</v>
      </c>
      <c r="M814" s="141" t="s">
        <v>55</v>
      </c>
      <c r="N814" s="156">
        <v>4</v>
      </c>
      <c r="O814" s="158">
        <v>56</v>
      </c>
      <c r="P814" s="158" t="s">
        <v>952</v>
      </c>
      <c r="Q814" s="159">
        <v>224</v>
      </c>
      <c r="R814" s="154">
        <v>0</v>
      </c>
      <c r="S814" s="160">
        <v>0</v>
      </c>
      <c r="T814" s="56">
        <v>0</v>
      </c>
      <c r="U814" s="56">
        <v>0</v>
      </c>
      <c r="V814" s="56">
        <v>0</v>
      </c>
      <c r="W814" s="56">
        <v>0</v>
      </c>
      <c r="X814" s="56">
        <v>0</v>
      </c>
      <c r="Y814" s="56">
        <v>0</v>
      </c>
      <c r="Z814" s="56">
        <v>224</v>
      </c>
      <c r="AA814" s="56">
        <v>0</v>
      </c>
      <c r="AB814" s="56">
        <v>0</v>
      </c>
      <c r="AC814" s="56">
        <v>0</v>
      </c>
    </row>
    <row r="815" spans="1:29" s="4" customFormat="1" ht="30" customHeight="1" x14ac:dyDescent="0.3">
      <c r="A815" s="152" t="s">
        <v>947</v>
      </c>
      <c r="B815" s="153" t="s">
        <v>948</v>
      </c>
      <c r="C815" s="154" t="s">
        <v>948</v>
      </c>
      <c r="D815" s="154" t="s">
        <v>74</v>
      </c>
      <c r="E815" s="154" t="s">
        <v>455</v>
      </c>
      <c r="F815" s="154" t="s">
        <v>87</v>
      </c>
      <c r="G815" s="154">
        <v>21101</v>
      </c>
      <c r="H815" s="154" t="s">
        <v>950</v>
      </c>
      <c r="I815" s="155" t="s">
        <v>1013</v>
      </c>
      <c r="J815" s="156" t="s">
        <v>964</v>
      </c>
      <c r="K815" s="156" t="s">
        <v>379</v>
      </c>
      <c r="L815" s="157" t="s">
        <v>379</v>
      </c>
      <c r="M815" s="141" t="s">
        <v>55</v>
      </c>
      <c r="N815" s="156">
        <v>4</v>
      </c>
      <c r="O815" s="158">
        <v>60</v>
      </c>
      <c r="P815" s="158" t="s">
        <v>952</v>
      </c>
      <c r="Q815" s="159">
        <v>240</v>
      </c>
      <c r="R815" s="154">
        <v>60</v>
      </c>
      <c r="S815" s="160">
        <v>0</v>
      </c>
      <c r="T815" s="56">
        <v>0</v>
      </c>
      <c r="U815" s="56">
        <v>0</v>
      </c>
      <c r="V815" s="56">
        <v>0</v>
      </c>
      <c r="W815" s="56">
        <v>0</v>
      </c>
      <c r="X815" s="56">
        <v>0</v>
      </c>
      <c r="Y815" s="56">
        <v>0</v>
      </c>
      <c r="Z815" s="56">
        <v>120</v>
      </c>
      <c r="AA815" s="56">
        <v>0</v>
      </c>
      <c r="AB815" s="56">
        <v>0</v>
      </c>
      <c r="AC815" s="56">
        <v>60</v>
      </c>
    </row>
    <row r="816" spans="1:29" s="4" customFormat="1" ht="30" customHeight="1" x14ac:dyDescent="0.3">
      <c r="A816" s="152" t="s">
        <v>947</v>
      </c>
      <c r="B816" s="153" t="s">
        <v>948</v>
      </c>
      <c r="C816" s="154" t="s">
        <v>948</v>
      </c>
      <c r="D816" s="154" t="s">
        <v>74</v>
      </c>
      <c r="E816" s="154" t="s">
        <v>455</v>
      </c>
      <c r="F816" s="154" t="s">
        <v>87</v>
      </c>
      <c r="G816" s="154">
        <v>21101</v>
      </c>
      <c r="H816" s="154" t="s">
        <v>950</v>
      </c>
      <c r="I816" s="155" t="s">
        <v>250</v>
      </c>
      <c r="J816" s="156" t="s">
        <v>41</v>
      </c>
      <c r="K816" s="156" t="s">
        <v>379</v>
      </c>
      <c r="L816" s="157" t="s">
        <v>379</v>
      </c>
      <c r="M816" s="141" t="s">
        <v>54</v>
      </c>
      <c r="N816" s="156">
        <v>7.9981999999999998</v>
      </c>
      <c r="O816" s="158">
        <v>16</v>
      </c>
      <c r="P816" s="158" t="s">
        <v>952</v>
      </c>
      <c r="Q816" s="159">
        <v>127.9712</v>
      </c>
      <c r="R816" s="154">
        <v>0</v>
      </c>
      <c r="S816" s="160">
        <v>0</v>
      </c>
      <c r="T816" s="56">
        <v>0</v>
      </c>
      <c r="U816" s="56">
        <v>0</v>
      </c>
      <c r="V816" s="56">
        <v>0</v>
      </c>
      <c r="W816" s="56">
        <v>80</v>
      </c>
      <c r="X816" s="56">
        <v>0</v>
      </c>
      <c r="Y816" s="56">
        <v>0</v>
      </c>
      <c r="Z816" s="56">
        <v>32</v>
      </c>
      <c r="AA816" s="56">
        <v>0</v>
      </c>
      <c r="AB816" s="56">
        <v>0</v>
      </c>
      <c r="AC816" s="56">
        <v>16</v>
      </c>
    </row>
    <row r="817" spans="1:29" s="4" customFormat="1" ht="30" customHeight="1" x14ac:dyDescent="0.3">
      <c r="A817" s="152" t="s">
        <v>947</v>
      </c>
      <c r="B817" s="153" t="s">
        <v>948</v>
      </c>
      <c r="C817" s="154" t="s">
        <v>948</v>
      </c>
      <c r="D817" s="154" t="s">
        <v>74</v>
      </c>
      <c r="E817" s="154" t="s">
        <v>455</v>
      </c>
      <c r="F817" s="154" t="s">
        <v>87</v>
      </c>
      <c r="G817" s="154">
        <v>21101</v>
      </c>
      <c r="H817" s="154" t="s">
        <v>950</v>
      </c>
      <c r="I817" s="155" t="s">
        <v>256</v>
      </c>
      <c r="J817" s="156" t="s">
        <v>82</v>
      </c>
      <c r="K817" s="156" t="s">
        <v>379</v>
      </c>
      <c r="L817" s="157" t="s">
        <v>379</v>
      </c>
      <c r="M817" s="141" t="s">
        <v>54</v>
      </c>
      <c r="N817" s="156">
        <v>6.0005142857142859</v>
      </c>
      <c r="O817" s="158">
        <v>28</v>
      </c>
      <c r="P817" s="158" t="s">
        <v>952</v>
      </c>
      <c r="Q817" s="159">
        <v>168.01439999999999</v>
      </c>
      <c r="R817" s="154">
        <v>0</v>
      </c>
      <c r="S817" s="160">
        <v>0</v>
      </c>
      <c r="T817" s="56">
        <v>0</v>
      </c>
      <c r="U817" s="56">
        <v>0</v>
      </c>
      <c r="V817" s="56">
        <v>0</v>
      </c>
      <c r="W817" s="56">
        <v>140</v>
      </c>
      <c r="X817" s="56">
        <v>0</v>
      </c>
      <c r="Y817" s="56">
        <v>0</v>
      </c>
      <c r="Z817" s="56">
        <v>28</v>
      </c>
      <c r="AA817" s="56">
        <v>0</v>
      </c>
      <c r="AB817" s="56">
        <v>0</v>
      </c>
      <c r="AC817" s="56">
        <v>0</v>
      </c>
    </row>
    <row r="818" spans="1:29" s="4" customFormat="1" ht="30" customHeight="1" x14ac:dyDescent="0.3">
      <c r="A818" s="152" t="s">
        <v>947</v>
      </c>
      <c r="B818" s="153" t="s">
        <v>948</v>
      </c>
      <c r="C818" s="154" t="s">
        <v>948</v>
      </c>
      <c r="D818" s="154" t="s">
        <v>74</v>
      </c>
      <c r="E818" s="154" t="s">
        <v>455</v>
      </c>
      <c r="F818" s="154" t="s">
        <v>87</v>
      </c>
      <c r="G818" s="154">
        <v>21101</v>
      </c>
      <c r="H818" s="154" t="s">
        <v>950</v>
      </c>
      <c r="I818" s="155" t="s">
        <v>395</v>
      </c>
      <c r="J818" s="156" t="s">
        <v>44</v>
      </c>
      <c r="K818" s="156" t="s">
        <v>379</v>
      </c>
      <c r="L818" s="157" t="s">
        <v>379</v>
      </c>
      <c r="M818" s="141" t="s">
        <v>54</v>
      </c>
      <c r="N818" s="156">
        <v>2.0000842105263157</v>
      </c>
      <c r="O818" s="158">
        <v>114</v>
      </c>
      <c r="P818" s="158" t="s">
        <v>952</v>
      </c>
      <c r="Q818" s="159">
        <v>228.00960000000001</v>
      </c>
      <c r="R818" s="154">
        <v>0</v>
      </c>
      <c r="S818" s="160">
        <v>0</v>
      </c>
      <c r="T818" s="56">
        <v>0</v>
      </c>
      <c r="U818" s="56">
        <v>0</v>
      </c>
      <c r="V818" s="56">
        <v>0</v>
      </c>
      <c r="W818" s="56">
        <v>228</v>
      </c>
      <c r="X818" s="56">
        <v>0</v>
      </c>
      <c r="Y818" s="56">
        <v>0</v>
      </c>
      <c r="Z818" s="56">
        <v>0</v>
      </c>
      <c r="AA818" s="56">
        <v>0</v>
      </c>
      <c r="AB818" s="56">
        <v>0</v>
      </c>
      <c r="AC818" s="56">
        <v>0</v>
      </c>
    </row>
    <row r="819" spans="1:29" s="4" customFormat="1" ht="30" customHeight="1" x14ac:dyDescent="0.3">
      <c r="A819" s="152" t="s">
        <v>947</v>
      </c>
      <c r="B819" s="153" t="s">
        <v>948</v>
      </c>
      <c r="C819" s="154" t="s">
        <v>948</v>
      </c>
      <c r="D819" s="154" t="s">
        <v>74</v>
      </c>
      <c r="E819" s="154" t="s">
        <v>455</v>
      </c>
      <c r="F819" s="154" t="s">
        <v>87</v>
      </c>
      <c r="G819" s="154">
        <v>21101</v>
      </c>
      <c r="H819" s="154" t="s">
        <v>950</v>
      </c>
      <c r="I819" s="155" t="s">
        <v>311</v>
      </c>
      <c r="J819" s="156" t="s">
        <v>45</v>
      </c>
      <c r="K819" s="156" t="s">
        <v>379</v>
      </c>
      <c r="L819" s="157" t="s">
        <v>379</v>
      </c>
      <c r="M819" s="141" t="s">
        <v>54</v>
      </c>
      <c r="N819" s="156">
        <v>14.993</v>
      </c>
      <c r="O819" s="158">
        <v>12</v>
      </c>
      <c r="P819" s="158" t="s">
        <v>952</v>
      </c>
      <c r="Q819" s="159">
        <v>179.916</v>
      </c>
      <c r="R819" s="154">
        <v>0</v>
      </c>
      <c r="S819" s="160">
        <v>0</v>
      </c>
      <c r="T819" s="56">
        <v>0</v>
      </c>
      <c r="U819" s="56">
        <v>0</v>
      </c>
      <c r="V819" s="56">
        <v>0</v>
      </c>
      <c r="W819" s="56">
        <v>180</v>
      </c>
      <c r="X819" s="56">
        <v>0</v>
      </c>
      <c r="Y819" s="56">
        <v>0</v>
      </c>
      <c r="Z819" s="56">
        <v>0</v>
      </c>
      <c r="AA819" s="56">
        <v>0</v>
      </c>
      <c r="AB819" s="56">
        <v>0</v>
      </c>
      <c r="AC819" s="56">
        <v>0</v>
      </c>
    </row>
    <row r="820" spans="1:29" s="4" customFormat="1" ht="30" customHeight="1" x14ac:dyDescent="0.3">
      <c r="A820" s="152" t="s">
        <v>947</v>
      </c>
      <c r="B820" s="153" t="s">
        <v>948</v>
      </c>
      <c r="C820" s="154" t="s">
        <v>948</v>
      </c>
      <c r="D820" s="154" t="s">
        <v>74</v>
      </c>
      <c r="E820" s="154" t="s">
        <v>455</v>
      </c>
      <c r="F820" s="154" t="s">
        <v>87</v>
      </c>
      <c r="G820" s="154">
        <v>21101</v>
      </c>
      <c r="H820" s="154" t="s">
        <v>950</v>
      </c>
      <c r="I820" s="155" t="s">
        <v>464</v>
      </c>
      <c r="J820" s="156" t="s">
        <v>965</v>
      </c>
      <c r="K820" s="156" t="s">
        <v>379</v>
      </c>
      <c r="L820" s="157" t="s">
        <v>379</v>
      </c>
      <c r="M820" s="141" t="s">
        <v>55</v>
      </c>
      <c r="N820" s="156">
        <v>9.9977499999999999</v>
      </c>
      <c r="O820" s="158">
        <v>16</v>
      </c>
      <c r="P820" s="158" t="s">
        <v>952</v>
      </c>
      <c r="Q820" s="159">
        <v>159.964</v>
      </c>
      <c r="R820" s="154">
        <v>0</v>
      </c>
      <c r="S820" s="160">
        <v>0</v>
      </c>
      <c r="T820" s="56">
        <v>48</v>
      </c>
      <c r="U820" s="56">
        <v>0</v>
      </c>
      <c r="V820" s="56">
        <v>0</v>
      </c>
      <c r="W820" s="56">
        <v>80</v>
      </c>
      <c r="X820" s="56">
        <v>0</v>
      </c>
      <c r="Y820" s="56">
        <v>0</v>
      </c>
      <c r="Z820" s="56">
        <v>33</v>
      </c>
      <c r="AA820" s="56">
        <v>0</v>
      </c>
      <c r="AB820" s="56">
        <v>0</v>
      </c>
      <c r="AC820" s="56">
        <v>0</v>
      </c>
    </row>
    <row r="821" spans="1:29" s="4" customFormat="1" ht="30" customHeight="1" x14ac:dyDescent="0.3">
      <c r="A821" s="152" t="s">
        <v>947</v>
      </c>
      <c r="B821" s="153" t="s">
        <v>948</v>
      </c>
      <c r="C821" s="154" t="s">
        <v>948</v>
      </c>
      <c r="D821" s="154" t="s">
        <v>74</v>
      </c>
      <c r="E821" s="154" t="s">
        <v>455</v>
      </c>
      <c r="F821" s="154" t="s">
        <v>87</v>
      </c>
      <c r="G821" s="154">
        <v>21101</v>
      </c>
      <c r="H821" s="154" t="s">
        <v>950</v>
      </c>
      <c r="I821" s="155" t="s">
        <v>968</v>
      </c>
      <c r="J821" s="156" t="s">
        <v>969</v>
      </c>
      <c r="K821" s="156" t="s">
        <v>379</v>
      </c>
      <c r="L821" s="157" t="s">
        <v>379</v>
      </c>
      <c r="M821" s="141" t="s">
        <v>58</v>
      </c>
      <c r="N821" s="156">
        <v>10</v>
      </c>
      <c r="O821" s="158">
        <v>28</v>
      </c>
      <c r="P821" s="158" t="s">
        <v>952</v>
      </c>
      <c r="Q821" s="159">
        <v>280</v>
      </c>
      <c r="R821" s="154">
        <v>0</v>
      </c>
      <c r="S821" s="160">
        <v>0</v>
      </c>
      <c r="T821" s="56">
        <v>280</v>
      </c>
      <c r="U821" s="56">
        <v>0</v>
      </c>
      <c r="V821" s="56">
        <v>0</v>
      </c>
      <c r="W821" s="56">
        <v>0</v>
      </c>
      <c r="X821" s="56">
        <v>0</v>
      </c>
      <c r="Y821" s="56">
        <v>0</v>
      </c>
      <c r="Z821" s="56">
        <v>0</v>
      </c>
      <c r="AA821" s="56">
        <v>0</v>
      </c>
      <c r="AB821" s="56">
        <v>0</v>
      </c>
      <c r="AC821" s="56">
        <v>0</v>
      </c>
    </row>
    <row r="822" spans="1:29" s="4" customFormat="1" ht="30" customHeight="1" x14ac:dyDescent="0.3">
      <c r="A822" s="152" t="s">
        <v>947</v>
      </c>
      <c r="B822" s="153" t="s">
        <v>948</v>
      </c>
      <c r="C822" s="154" t="s">
        <v>948</v>
      </c>
      <c r="D822" s="154" t="s">
        <v>74</v>
      </c>
      <c r="E822" s="154" t="s">
        <v>455</v>
      </c>
      <c r="F822" s="154" t="s">
        <v>87</v>
      </c>
      <c r="G822" s="154">
        <v>21101</v>
      </c>
      <c r="H822" s="154" t="s">
        <v>950</v>
      </c>
      <c r="I822" s="155" t="s">
        <v>501</v>
      </c>
      <c r="J822" s="156" t="s">
        <v>502</v>
      </c>
      <c r="K822" s="156" t="s">
        <v>379</v>
      </c>
      <c r="L822" s="157" t="s">
        <v>379</v>
      </c>
      <c r="M822" s="141" t="s">
        <v>55</v>
      </c>
      <c r="N822" s="156">
        <v>10.000044303797468</v>
      </c>
      <c r="O822" s="158">
        <v>1264</v>
      </c>
      <c r="P822" s="158" t="s">
        <v>952</v>
      </c>
      <c r="Q822" s="159">
        <v>12640.056</v>
      </c>
      <c r="R822" s="154">
        <v>0</v>
      </c>
      <c r="S822" s="160">
        <v>0</v>
      </c>
      <c r="T822" s="56">
        <v>5056</v>
      </c>
      <c r="U822" s="56">
        <v>0</v>
      </c>
      <c r="V822" s="56">
        <v>0</v>
      </c>
      <c r="W822" s="56">
        <v>2528</v>
      </c>
      <c r="X822" s="56">
        <v>0</v>
      </c>
      <c r="Y822" s="56">
        <v>0</v>
      </c>
      <c r="Z822" s="56">
        <v>2528</v>
      </c>
      <c r="AA822" s="56">
        <v>0</v>
      </c>
      <c r="AB822" s="56">
        <v>0</v>
      </c>
      <c r="AC822" s="56">
        <v>2528</v>
      </c>
    </row>
    <row r="823" spans="1:29" s="4" customFormat="1" ht="30" customHeight="1" x14ac:dyDescent="0.3">
      <c r="A823" s="152" t="s">
        <v>947</v>
      </c>
      <c r="B823" s="153" t="s">
        <v>948</v>
      </c>
      <c r="C823" s="154" t="s">
        <v>948</v>
      </c>
      <c r="D823" s="154" t="s">
        <v>74</v>
      </c>
      <c r="E823" s="154" t="s">
        <v>455</v>
      </c>
      <c r="F823" s="154" t="s">
        <v>87</v>
      </c>
      <c r="G823" s="154">
        <v>21101</v>
      </c>
      <c r="H823" s="154" t="s">
        <v>950</v>
      </c>
      <c r="I823" s="155" t="s">
        <v>868</v>
      </c>
      <c r="J823" s="156" t="s">
        <v>869</v>
      </c>
      <c r="K823" s="156" t="s">
        <v>379</v>
      </c>
      <c r="L823" s="157" t="s">
        <v>379</v>
      </c>
      <c r="M823" s="141" t="s">
        <v>55</v>
      </c>
      <c r="N823" s="156">
        <v>5.0000083532219568</v>
      </c>
      <c r="O823" s="158">
        <v>1676</v>
      </c>
      <c r="P823" s="158" t="s">
        <v>952</v>
      </c>
      <c r="Q823" s="159">
        <v>8380.0139999999992</v>
      </c>
      <c r="R823" s="154">
        <v>0</v>
      </c>
      <c r="S823" s="160">
        <v>0</v>
      </c>
      <c r="T823" s="56">
        <v>0</v>
      </c>
      <c r="U823" s="56">
        <v>0</v>
      </c>
      <c r="V823" s="56">
        <v>0</v>
      </c>
      <c r="W823" s="56">
        <v>3352</v>
      </c>
      <c r="X823" s="56">
        <v>0</v>
      </c>
      <c r="Y823" s="56">
        <v>0</v>
      </c>
      <c r="Z823" s="56">
        <v>3352</v>
      </c>
      <c r="AA823" s="56">
        <v>0</v>
      </c>
      <c r="AB823" s="56">
        <v>0</v>
      </c>
      <c r="AC823" s="56">
        <v>1676</v>
      </c>
    </row>
    <row r="824" spans="1:29" s="4" customFormat="1" ht="30" customHeight="1" x14ac:dyDescent="0.3">
      <c r="A824" s="152" t="s">
        <v>947</v>
      </c>
      <c r="B824" s="153" t="s">
        <v>948</v>
      </c>
      <c r="C824" s="154" t="s">
        <v>948</v>
      </c>
      <c r="D824" s="154" t="s">
        <v>74</v>
      </c>
      <c r="E824" s="154" t="s">
        <v>455</v>
      </c>
      <c r="F824" s="154" t="s">
        <v>87</v>
      </c>
      <c r="G824" s="154">
        <v>21101</v>
      </c>
      <c r="H824" s="154" t="s">
        <v>950</v>
      </c>
      <c r="I824" s="155" t="s">
        <v>575</v>
      </c>
      <c r="J824" s="156" t="s">
        <v>576</v>
      </c>
      <c r="K824" s="156" t="s">
        <v>379</v>
      </c>
      <c r="L824" s="157" t="s">
        <v>379</v>
      </c>
      <c r="M824" s="141" t="s">
        <v>54</v>
      </c>
      <c r="N824" s="156">
        <v>8.0001333333333324</v>
      </c>
      <c r="O824" s="158">
        <v>48</v>
      </c>
      <c r="P824" s="158" t="s">
        <v>952</v>
      </c>
      <c r="Q824" s="159">
        <v>384.00639999999999</v>
      </c>
      <c r="R824" s="154">
        <v>0</v>
      </c>
      <c r="S824" s="160">
        <v>0</v>
      </c>
      <c r="T824" s="56">
        <v>384</v>
      </c>
      <c r="U824" s="56">
        <v>0</v>
      </c>
      <c r="V824" s="56">
        <v>0</v>
      </c>
      <c r="W824" s="56">
        <v>0</v>
      </c>
      <c r="X824" s="56">
        <v>0</v>
      </c>
      <c r="Y824" s="56">
        <v>0</v>
      </c>
      <c r="Z824" s="56">
        <v>0</v>
      </c>
      <c r="AA824" s="56">
        <v>0</v>
      </c>
      <c r="AB824" s="56">
        <v>0</v>
      </c>
      <c r="AC824" s="56">
        <v>0</v>
      </c>
    </row>
    <row r="825" spans="1:29" s="4" customFormat="1" ht="30" customHeight="1" x14ac:dyDescent="0.3">
      <c r="A825" s="152" t="s">
        <v>947</v>
      </c>
      <c r="B825" s="153" t="s">
        <v>948</v>
      </c>
      <c r="C825" s="154" t="s">
        <v>948</v>
      </c>
      <c r="D825" s="154" t="s">
        <v>74</v>
      </c>
      <c r="E825" s="154" t="s">
        <v>455</v>
      </c>
      <c r="F825" s="154" t="s">
        <v>87</v>
      </c>
      <c r="G825" s="154" t="s">
        <v>1012</v>
      </c>
      <c r="H825" s="154" t="s">
        <v>950</v>
      </c>
      <c r="I825" s="155" t="s">
        <v>392</v>
      </c>
      <c r="J825" s="156" t="s">
        <v>886</v>
      </c>
      <c r="K825" s="156" t="s">
        <v>379</v>
      </c>
      <c r="L825" s="157" t="s">
        <v>379</v>
      </c>
      <c r="M825" s="141" t="s">
        <v>56</v>
      </c>
      <c r="N825" s="156">
        <v>2.9999698492462312</v>
      </c>
      <c r="O825" s="158">
        <v>199</v>
      </c>
      <c r="P825" s="158" t="s">
        <v>952</v>
      </c>
      <c r="Q825" s="159">
        <v>596.99400000000003</v>
      </c>
      <c r="R825" s="154">
        <v>0</v>
      </c>
      <c r="S825" s="160">
        <v>0</v>
      </c>
      <c r="T825" s="56">
        <v>597</v>
      </c>
      <c r="U825" s="56">
        <v>0</v>
      </c>
      <c r="V825" s="56">
        <v>0</v>
      </c>
      <c r="W825" s="56">
        <v>0</v>
      </c>
      <c r="X825" s="56">
        <v>0</v>
      </c>
      <c r="Y825" s="56">
        <v>0</v>
      </c>
      <c r="Z825" s="56">
        <v>0</v>
      </c>
      <c r="AA825" s="56">
        <v>0</v>
      </c>
      <c r="AB825" s="56">
        <v>0</v>
      </c>
      <c r="AC825" s="56">
        <v>0</v>
      </c>
    </row>
    <row r="826" spans="1:29" s="4" customFormat="1" ht="30" customHeight="1" x14ac:dyDescent="0.3">
      <c r="A826" s="152" t="s">
        <v>947</v>
      </c>
      <c r="B826" s="153" t="s">
        <v>948</v>
      </c>
      <c r="C826" s="154" t="s">
        <v>948</v>
      </c>
      <c r="D826" s="154" t="s">
        <v>74</v>
      </c>
      <c r="E826" s="154" t="s">
        <v>455</v>
      </c>
      <c r="F826" s="154" t="s">
        <v>87</v>
      </c>
      <c r="G826" s="154" t="s">
        <v>1012</v>
      </c>
      <c r="H826" s="154" t="s">
        <v>950</v>
      </c>
      <c r="I826" s="155" t="s">
        <v>531</v>
      </c>
      <c r="J826" s="156" t="s">
        <v>532</v>
      </c>
      <c r="K826" s="156" t="s">
        <v>379</v>
      </c>
      <c r="L826" s="157" t="s">
        <v>379</v>
      </c>
      <c r="M826" s="141" t="s">
        <v>54</v>
      </c>
      <c r="N826" s="156">
        <v>22.01</v>
      </c>
      <c r="O826" s="158">
        <v>4</v>
      </c>
      <c r="P826" s="158" t="s">
        <v>952</v>
      </c>
      <c r="Q826" s="159">
        <v>88.04</v>
      </c>
      <c r="R826" s="154">
        <v>0</v>
      </c>
      <c r="S826" s="160">
        <v>0</v>
      </c>
      <c r="T826" s="56">
        <v>88</v>
      </c>
      <c r="U826" s="56">
        <v>0</v>
      </c>
      <c r="V826" s="56">
        <v>0</v>
      </c>
      <c r="W826" s="56">
        <v>0</v>
      </c>
      <c r="X826" s="56">
        <v>0</v>
      </c>
      <c r="Y826" s="56">
        <v>0</v>
      </c>
      <c r="Z826" s="56">
        <v>0</v>
      </c>
      <c r="AA826" s="56">
        <v>0</v>
      </c>
      <c r="AB826" s="56">
        <v>0</v>
      </c>
      <c r="AC826" s="56">
        <v>0</v>
      </c>
    </row>
    <row r="827" spans="1:29" s="4" customFormat="1" ht="30" customHeight="1" x14ac:dyDescent="0.3">
      <c r="A827" s="152" t="s">
        <v>947</v>
      </c>
      <c r="B827" s="153" t="s">
        <v>948</v>
      </c>
      <c r="C827" s="154" t="s">
        <v>948</v>
      </c>
      <c r="D827" s="154" t="s">
        <v>74</v>
      </c>
      <c r="E827" s="154" t="s">
        <v>455</v>
      </c>
      <c r="F827" s="154" t="s">
        <v>87</v>
      </c>
      <c r="G827" s="154" t="s">
        <v>1012</v>
      </c>
      <c r="H827" s="154" t="s">
        <v>950</v>
      </c>
      <c r="I827" s="155" t="s">
        <v>274</v>
      </c>
      <c r="J827" s="156" t="s">
        <v>53</v>
      </c>
      <c r="K827" s="156" t="s">
        <v>379</v>
      </c>
      <c r="L827" s="157" t="s">
        <v>379</v>
      </c>
      <c r="M827" s="141" t="s">
        <v>54</v>
      </c>
      <c r="N827" s="156">
        <v>33.743842364532021</v>
      </c>
      <c r="O827" s="158">
        <v>4.0599999999999996</v>
      </c>
      <c r="P827" s="158" t="s">
        <v>952</v>
      </c>
      <c r="Q827" s="159">
        <v>137</v>
      </c>
      <c r="R827" s="154">
        <v>0</v>
      </c>
      <c r="S827" s="160">
        <v>0</v>
      </c>
      <c r="T827" s="56">
        <v>142.1</v>
      </c>
      <c r="U827" s="56">
        <v>0</v>
      </c>
      <c r="V827" s="56">
        <v>0</v>
      </c>
      <c r="W827" s="56">
        <v>0</v>
      </c>
      <c r="X827" s="56">
        <v>0</v>
      </c>
      <c r="Y827" s="56">
        <v>0</v>
      </c>
      <c r="Z827" s="56">
        <v>0</v>
      </c>
      <c r="AA827" s="56">
        <v>0</v>
      </c>
      <c r="AB827" s="56">
        <v>0</v>
      </c>
      <c r="AC827" s="56">
        <v>0</v>
      </c>
    </row>
    <row r="828" spans="1:29" s="4" customFormat="1" ht="30" customHeight="1" x14ac:dyDescent="0.3">
      <c r="A828" s="152" t="s">
        <v>947</v>
      </c>
      <c r="B828" s="153" t="s">
        <v>948</v>
      </c>
      <c r="C828" s="154" t="s">
        <v>948</v>
      </c>
      <c r="D828" s="154" t="s">
        <v>74</v>
      </c>
      <c r="E828" s="154" t="s">
        <v>455</v>
      </c>
      <c r="F828" s="154" t="s">
        <v>87</v>
      </c>
      <c r="G828" s="154">
        <v>21401</v>
      </c>
      <c r="H828" s="154" t="s">
        <v>533</v>
      </c>
      <c r="I828" s="155" t="s">
        <v>1014</v>
      </c>
      <c r="J828" s="156" t="s">
        <v>1015</v>
      </c>
      <c r="K828" s="156" t="s">
        <v>379</v>
      </c>
      <c r="L828" s="157" t="s">
        <v>379</v>
      </c>
      <c r="M828" s="141" t="s">
        <v>54</v>
      </c>
      <c r="N828" s="156" t="s">
        <v>1016</v>
      </c>
      <c r="O828" s="158">
        <v>52.199999999999996</v>
      </c>
      <c r="P828" s="158" t="s">
        <v>952</v>
      </c>
      <c r="Q828" s="159">
        <v>313.2</v>
      </c>
      <c r="R828" s="154">
        <v>0</v>
      </c>
      <c r="S828" s="160">
        <v>0</v>
      </c>
      <c r="T828" s="56">
        <v>0</v>
      </c>
      <c r="U828" s="56">
        <v>0</v>
      </c>
      <c r="V828" s="56">
        <v>0</v>
      </c>
      <c r="W828" s="56">
        <v>44</v>
      </c>
      <c r="X828" s="56">
        <v>0</v>
      </c>
      <c r="Y828" s="56">
        <v>261</v>
      </c>
      <c r="Z828" s="56">
        <v>0</v>
      </c>
      <c r="AA828" s="56">
        <v>0</v>
      </c>
      <c r="AB828" s="56">
        <v>0</v>
      </c>
      <c r="AC828" s="56">
        <v>0</v>
      </c>
    </row>
    <row r="829" spans="1:29" s="4" customFormat="1" ht="30" customHeight="1" x14ac:dyDescent="0.3">
      <c r="A829" s="152" t="s">
        <v>947</v>
      </c>
      <c r="B829" s="153" t="s">
        <v>948</v>
      </c>
      <c r="C829" s="154" t="s">
        <v>948</v>
      </c>
      <c r="D829" s="154" t="s">
        <v>74</v>
      </c>
      <c r="E829" s="154" t="s">
        <v>455</v>
      </c>
      <c r="F829" s="154" t="s">
        <v>87</v>
      </c>
      <c r="G829" s="154">
        <v>21401</v>
      </c>
      <c r="H829" s="154" t="s">
        <v>533</v>
      </c>
      <c r="I829" s="155" t="s">
        <v>343</v>
      </c>
      <c r="J829" s="156" t="s">
        <v>158</v>
      </c>
      <c r="K829" s="156" t="s">
        <v>379</v>
      </c>
      <c r="L829" s="157" t="s">
        <v>379</v>
      </c>
      <c r="M829" s="141" t="s">
        <v>54</v>
      </c>
      <c r="N829" s="156" t="s">
        <v>1016</v>
      </c>
      <c r="O829" s="158">
        <v>28.999999999999996</v>
      </c>
      <c r="P829" s="158" t="s">
        <v>952</v>
      </c>
      <c r="Q829" s="159">
        <v>174</v>
      </c>
      <c r="R829" s="154">
        <v>0</v>
      </c>
      <c r="S829" s="160">
        <v>0</v>
      </c>
      <c r="T829" s="56">
        <v>0</v>
      </c>
      <c r="U829" s="56">
        <v>0</v>
      </c>
      <c r="V829" s="56">
        <v>0</v>
      </c>
      <c r="W829" s="56">
        <v>0</v>
      </c>
      <c r="X829" s="56">
        <v>0</v>
      </c>
      <c r="Y829" s="56">
        <v>37</v>
      </c>
      <c r="Z829" s="56">
        <v>0</v>
      </c>
      <c r="AA829" s="56">
        <v>0</v>
      </c>
      <c r="AB829" s="56">
        <v>0</v>
      </c>
      <c r="AC829" s="56">
        <v>144.99999999999997</v>
      </c>
    </row>
    <row r="830" spans="1:29" s="4" customFormat="1" ht="30" customHeight="1" x14ac:dyDescent="0.3">
      <c r="A830" s="152" t="s">
        <v>947</v>
      </c>
      <c r="B830" s="153" t="s">
        <v>948</v>
      </c>
      <c r="C830" s="154" t="s">
        <v>948</v>
      </c>
      <c r="D830" s="154" t="s">
        <v>74</v>
      </c>
      <c r="E830" s="154" t="s">
        <v>455</v>
      </c>
      <c r="F830" s="154" t="s">
        <v>87</v>
      </c>
      <c r="G830" s="154">
        <v>21401</v>
      </c>
      <c r="H830" s="154" t="s">
        <v>533</v>
      </c>
      <c r="I830" s="155" t="s">
        <v>338</v>
      </c>
      <c r="J830" s="156" t="s">
        <v>1017</v>
      </c>
      <c r="K830" s="156" t="s">
        <v>379</v>
      </c>
      <c r="L830" s="157" t="s">
        <v>379</v>
      </c>
      <c r="M830" s="141" t="s">
        <v>54</v>
      </c>
      <c r="N830" s="156" t="s">
        <v>1018</v>
      </c>
      <c r="O830" s="158">
        <v>103.24</v>
      </c>
      <c r="P830" s="158" t="s">
        <v>952</v>
      </c>
      <c r="Q830" s="159">
        <v>516.20000000000005</v>
      </c>
      <c r="R830" s="154">
        <v>0</v>
      </c>
      <c r="S830" s="160">
        <v>0</v>
      </c>
      <c r="T830" s="56">
        <v>0</v>
      </c>
      <c r="U830" s="56">
        <v>0</v>
      </c>
      <c r="V830" s="56">
        <v>0</v>
      </c>
      <c r="W830" s="56">
        <v>206.48</v>
      </c>
      <c r="X830" s="56">
        <v>0</v>
      </c>
      <c r="Y830" s="56">
        <v>206</v>
      </c>
      <c r="Z830" s="56">
        <v>0</v>
      </c>
      <c r="AA830" s="56">
        <v>0</v>
      </c>
      <c r="AB830" s="56">
        <v>0</v>
      </c>
      <c r="AC830" s="56">
        <v>105</v>
      </c>
    </row>
    <row r="831" spans="1:29" s="4" customFormat="1" ht="30" customHeight="1" x14ac:dyDescent="0.3">
      <c r="A831" s="152" t="s">
        <v>947</v>
      </c>
      <c r="B831" s="153" t="s">
        <v>948</v>
      </c>
      <c r="C831" s="154" t="s">
        <v>948</v>
      </c>
      <c r="D831" s="154" t="s">
        <v>74</v>
      </c>
      <c r="E831" s="154" t="s">
        <v>455</v>
      </c>
      <c r="F831" s="154" t="s">
        <v>87</v>
      </c>
      <c r="G831" s="154">
        <v>21401</v>
      </c>
      <c r="H831" s="154" t="s">
        <v>533</v>
      </c>
      <c r="I831" s="155" t="s">
        <v>341</v>
      </c>
      <c r="J831" s="156" t="s">
        <v>537</v>
      </c>
      <c r="K831" s="156" t="s">
        <v>379</v>
      </c>
      <c r="L831" s="157" t="s">
        <v>379</v>
      </c>
      <c r="M831" s="141" t="s">
        <v>54</v>
      </c>
      <c r="N831" s="156" t="s">
        <v>1019</v>
      </c>
      <c r="O831" s="158">
        <v>172.83999999999997</v>
      </c>
      <c r="P831" s="158" t="s">
        <v>952</v>
      </c>
      <c r="Q831" s="159">
        <v>691.36</v>
      </c>
      <c r="R831" s="154">
        <v>0</v>
      </c>
      <c r="S831" s="160">
        <v>0</v>
      </c>
      <c r="T831" s="56">
        <v>0</v>
      </c>
      <c r="U831" s="56">
        <v>0</v>
      </c>
      <c r="V831" s="56">
        <v>0</v>
      </c>
      <c r="W831" s="56">
        <v>0</v>
      </c>
      <c r="X831" s="56">
        <v>0</v>
      </c>
      <c r="Y831" s="56">
        <v>691</v>
      </c>
      <c r="Z831" s="56">
        <v>0</v>
      </c>
      <c r="AA831" s="56">
        <v>0</v>
      </c>
      <c r="AB831" s="56">
        <v>0</v>
      </c>
      <c r="AC831" s="56">
        <v>0</v>
      </c>
    </row>
    <row r="832" spans="1:29" s="4" customFormat="1" ht="30" customHeight="1" x14ac:dyDescent="0.3">
      <c r="A832" s="152" t="s">
        <v>947</v>
      </c>
      <c r="B832" s="153" t="s">
        <v>948</v>
      </c>
      <c r="C832" s="154" t="s">
        <v>948</v>
      </c>
      <c r="D832" s="154" t="s">
        <v>74</v>
      </c>
      <c r="E832" s="154" t="s">
        <v>455</v>
      </c>
      <c r="F832" s="154" t="s">
        <v>87</v>
      </c>
      <c r="G832" s="154">
        <v>21401</v>
      </c>
      <c r="H832" s="154" t="s">
        <v>533</v>
      </c>
      <c r="I832" s="155" t="s">
        <v>1020</v>
      </c>
      <c r="J832" s="156" t="s">
        <v>1021</v>
      </c>
      <c r="K832" s="156" t="s">
        <v>379</v>
      </c>
      <c r="L832" s="157" t="s">
        <v>379</v>
      </c>
      <c r="M832" s="141" t="s">
        <v>54</v>
      </c>
      <c r="N832" s="156" t="s">
        <v>1022</v>
      </c>
      <c r="O832" s="158">
        <v>2179.64</v>
      </c>
      <c r="P832" s="158" t="s">
        <v>952</v>
      </c>
      <c r="Q832" s="159">
        <v>4359.28</v>
      </c>
      <c r="R832" s="154">
        <v>0</v>
      </c>
      <c r="S832" s="160">
        <v>0</v>
      </c>
      <c r="T832" s="56">
        <v>0</v>
      </c>
      <c r="U832" s="56">
        <v>0</v>
      </c>
      <c r="V832" s="56">
        <v>0</v>
      </c>
      <c r="W832" s="56">
        <v>0</v>
      </c>
      <c r="X832" s="56">
        <v>0</v>
      </c>
      <c r="Y832" s="56">
        <v>4359</v>
      </c>
      <c r="Z832" s="56">
        <v>0</v>
      </c>
      <c r="AA832" s="56">
        <v>0</v>
      </c>
      <c r="AB832" s="56">
        <v>0</v>
      </c>
      <c r="AC832" s="56">
        <v>0</v>
      </c>
    </row>
    <row r="833" spans="1:29" s="4" customFormat="1" ht="30" customHeight="1" x14ac:dyDescent="0.3">
      <c r="A833" s="152" t="s">
        <v>947</v>
      </c>
      <c r="B833" s="153" t="s">
        <v>948</v>
      </c>
      <c r="C833" s="154" t="s">
        <v>948</v>
      </c>
      <c r="D833" s="154" t="s">
        <v>74</v>
      </c>
      <c r="E833" s="154" t="s">
        <v>455</v>
      </c>
      <c r="F833" s="154" t="s">
        <v>87</v>
      </c>
      <c r="G833" s="154">
        <v>21401</v>
      </c>
      <c r="H833" s="154" t="s">
        <v>533</v>
      </c>
      <c r="I833" s="155" t="s">
        <v>1023</v>
      </c>
      <c r="J833" s="156" t="s">
        <v>1015</v>
      </c>
      <c r="K833" s="156" t="s">
        <v>379</v>
      </c>
      <c r="L833" s="157" t="s">
        <v>379</v>
      </c>
      <c r="M833" s="141" t="s">
        <v>54</v>
      </c>
      <c r="N833" s="156" t="s">
        <v>1022</v>
      </c>
      <c r="O833" s="158">
        <v>52.199999999999996</v>
      </c>
      <c r="P833" s="158" t="s">
        <v>952</v>
      </c>
      <c r="Q833" s="159">
        <v>104.4</v>
      </c>
      <c r="R833" s="154">
        <v>0</v>
      </c>
      <c r="S833" s="160">
        <v>0</v>
      </c>
      <c r="T833" s="56">
        <v>0</v>
      </c>
      <c r="U833" s="56">
        <v>0</v>
      </c>
      <c r="V833" s="56">
        <v>0</v>
      </c>
      <c r="W833" s="56">
        <v>0</v>
      </c>
      <c r="X833" s="56">
        <v>0</v>
      </c>
      <c r="Y833" s="56">
        <v>104</v>
      </c>
      <c r="Z833" s="56">
        <v>0</v>
      </c>
      <c r="AA833" s="56">
        <v>0</v>
      </c>
      <c r="AB833" s="56">
        <v>0</v>
      </c>
      <c r="AC833" s="56">
        <v>0</v>
      </c>
    </row>
    <row r="834" spans="1:29" s="4" customFormat="1" ht="30" customHeight="1" x14ac:dyDescent="0.3">
      <c r="A834" s="152" t="s">
        <v>947</v>
      </c>
      <c r="B834" s="153" t="s">
        <v>948</v>
      </c>
      <c r="C834" s="154" t="s">
        <v>948</v>
      </c>
      <c r="D834" s="154" t="s">
        <v>74</v>
      </c>
      <c r="E834" s="154" t="s">
        <v>455</v>
      </c>
      <c r="F834" s="154" t="s">
        <v>87</v>
      </c>
      <c r="G834" s="154">
        <v>21401</v>
      </c>
      <c r="H834" s="154" t="s">
        <v>533</v>
      </c>
      <c r="I834" s="155" t="s">
        <v>338</v>
      </c>
      <c r="J834" s="156" t="s">
        <v>1017</v>
      </c>
      <c r="K834" s="156" t="s">
        <v>379</v>
      </c>
      <c r="L834" s="157" t="s">
        <v>379</v>
      </c>
      <c r="M834" s="141" t="s">
        <v>54</v>
      </c>
      <c r="N834" s="156" t="s">
        <v>1022</v>
      </c>
      <c r="O834" s="158">
        <v>109.03999999999999</v>
      </c>
      <c r="P834" s="158" t="s">
        <v>952</v>
      </c>
      <c r="Q834" s="159">
        <v>218.08</v>
      </c>
      <c r="R834" s="154">
        <v>0</v>
      </c>
      <c r="S834" s="160">
        <v>0</v>
      </c>
      <c r="T834" s="56">
        <v>0</v>
      </c>
      <c r="U834" s="56">
        <v>0</v>
      </c>
      <c r="V834" s="56">
        <v>0</v>
      </c>
      <c r="W834" s="56">
        <v>0</v>
      </c>
      <c r="X834" s="56">
        <v>0</v>
      </c>
      <c r="Y834" s="56">
        <v>218</v>
      </c>
      <c r="Z834" s="56">
        <v>0</v>
      </c>
      <c r="AA834" s="56">
        <v>0</v>
      </c>
      <c r="AB834" s="56">
        <v>0</v>
      </c>
      <c r="AC834" s="56">
        <v>0</v>
      </c>
    </row>
    <row r="835" spans="1:29" s="4" customFormat="1" ht="30" customHeight="1" x14ac:dyDescent="0.3">
      <c r="A835" s="152" t="s">
        <v>947</v>
      </c>
      <c r="B835" s="153" t="s">
        <v>948</v>
      </c>
      <c r="C835" s="154" t="s">
        <v>948</v>
      </c>
      <c r="D835" s="154" t="s">
        <v>74</v>
      </c>
      <c r="E835" s="154" t="s">
        <v>455</v>
      </c>
      <c r="F835" s="154" t="s">
        <v>87</v>
      </c>
      <c r="G835" s="154">
        <v>21401</v>
      </c>
      <c r="H835" s="154" t="s">
        <v>533</v>
      </c>
      <c r="I835" s="155" t="s">
        <v>341</v>
      </c>
      <c r="J835" s="156" t="s">
        <v>537</v>
      </c>
      <c r="K835" s="156" t="s">
        <v>379</v>
      </c>
      <c r="L835" s="157" t="s">
        <v>379</v>
      </c>
      <c r="M835" s="141" t="s">
        <v>54</v>
      </c>
      <c r="N835" s="156" t="s">
        <v>1024</v>
      </c>
      <c r="O835" s="158">
        <v>172.83999999999997</v>
      </c>
      <c r="P835" s="158" t="s">
        <v>952</v>
      </c>
      <c r="Q835" s="159">
        <v>173</v>
      </c>
      <c r="R835" s="154">
        <v>0</v>
      </c>
      <c r="S835" s="160">
        <v>0</v>
      </c>
      <c r="T835" s="56">
        <v>0</v>
      </c>
      <c r="U835" s="56">
        <v>0</v>
      </c>
      <c r="V835" s="56">
        <v>0</v>
      </c>
      <c r="W835" s="56">
        <v>0</v>
      </c>
      <c r="X835" s="56">
        <v>0</v>
      </c>
      <c r="Y835" s="56">
        <v>174</v>
      </c>
      <c r="Z835" s="56">
        <v>0</v>
      </c>
      <c r="AA835" s="56">
        <v>0</v>
      </c>
      <c r="AB835" s="56">
        <v>0</v>
      </c>
      <c r="AC835" s="56">
        <v>0</v>
      </c>
    </row>
    <row r="836" spans="1:29" s="4" customFormat="1" ht="30" customHeight="1" x14ac:dyDescent="0.3">
      <c r="A836" s="152" t="s">
        <v>947</v>
      </c>
      <c r="B836" s="153" t="s">
        <v>948</v>
      </c>
      <c r="C836" s="154" t="s">
        <v>948</v>
      </c>
      <c r="D836" s="154" t="s">
        <v>74</v>
      </c>
      <c r="E836" s="154" t="s">
        <v>455</v>
      </c>
      <c r="F836" s="154" t="s">
        <v>87</v>
      </c>
      <c r="G836" s="154">
        <v>24601</v>
      </c>
      <c r="H836" s="154" t="s">
        <v>587</v>
      </c>
      <c r="I836" s="155" t="s">
        <v>985</v>
      </c>
      <c r="J836" s="156" t="s">
        <v>1025</v>
      </c>
      <c r="K836" s="156" t="s">
        <v>379</v>
      </c>
      <c r="L836" s="157" t="s">
        <v>379</v>
      </c>
      <c r="M836" s="141" t="s">
        <v>54</v>
      </c>
      <c r="N836" s="156" t="s">
        <v>1018</v>
      </c>
      <c r="O836" s="158">
        <v>346.84</v>
      </c>
      <c r="P836" s="158" t="s">
        <v>952</v>
      </c>
      <c r="Q836" s="159">
        <v>1734.2</v>
      </c>
      <c r="R836" s="154">
        <v>346.84</v>
      </c>
      <c r="S836" s="160">
        <v>0</v>
      </c>
      <c r="T836" s="160">
        <v>0</v>
      </c>
      <c r="U836" s="160">
        <v>0</v>
      </c>
      <c r="V836" s="160">
        <v>0</v>
      </c>
      <c r="W836" s="160">
        <v>0</v>
      </c>
      <c r="X836" s="56">
        <v>346.84</v>
      </c>
      <c r="Y836" s="160">
        <v>0</v>
      </c>
      <c r="Z836" s="160">
        <v>0</v>
      </c>
      <c r="AA836" s="160">
        <v>0</v>
      </c>
      <c r="AB836" s="56">
        <v>1200</v>
      </c>
      <c r="AC836" s="160">
        <v>0</v>
      </c>
    </row>
    <row r="837" spans="1:29" s="4" customFormat="1" ht="30" customHeight="1" x14ac:dyDescent="0.3">
      <c r="A837" s="152" t="s">
        <v>947</v>
      </c>
      <c r="B837" s="153" t="s">
        <v>948</v>
      </c>
      <c r="C837" s="154" t="s">
        <v>948</v>
      </c>
      <c r="D837" s="154" t="s">
        <v>74</v>
      </c>
      <c r="E837" s="154" t="s">
        <v>455</v>
      </c>
      <c r="F837" s="154" t="s">
        <v>87</v>
      </c>
      <c r="G837" s="154">
        <v>24601</v>
      </c>
      <c r="H837" s="154" t="s">
        <v>587</v>
      </c>
      <c r="I837" s="155" t="s">
        <v>926</v>
      </c>
      <c r="J837" s="156" t="s">
        <v>927</v>
      </c>
      <c r="K837" s="156" t="s">
        <v>379</v>
      </c>
      <c r="L837" s="157" t="s">
        <v>379</v>
      </c>
      <c r="M837" s="141" t="s">
        <v>54</v>
      </c>
      <c r="N837" s="156" t="s">
        <v>1022</v>
      </c>
      <c r="O837" s="158">
        <v>231.99999999999997</v>
      </c>
      <c r="P837" s="158" t="s">
        <v>952</v>
      </c>
      <c r="Q837" s="159">
        <v>466</v>
      </c>
      <c r="R837" s="154">
        <v>153</v>
      </c>
      <c r="S837" s="160">
        <v>0</v>
      </c>
      <c r="T837" s="160">
        <v>0</v>
      </c>
      <c r="U837" s="160">
        <v>0</v>
      </c>
      <c r="V837" s="160">
        <v>0</v>
      </c>
      <c r="W837" s="160">
        <v>0</v>
      </c>
      <c r="X837" s="56">
        <v>153</v>
      </c>
      <c r="Y837" s="160">
        <v>0</v>
      </c>
      <c r="Z837" s="160">
        <v>0</v>
      </c>
      <c r="AA837" s="160">
        <v>0</v>
      </c>
      <c r="AB837" s="56">
        <v>0</v>
      </c>
      <c r="AC837" s="160">
        <v>0</v>
      </c>
    </row>
    <row r="838" spans="1:29" s="4" customFormat="1" ht="30" customHeight="1" x14ac:dyDescent="0.3">
      <c r="A838" s="152" t="s">
        <v>947</v>
      </c>
      <c r="B838" s="153" t="s">
        <v>948</v>
      </c>
      <c r="C838" s="154" t="s">
        <v>948</v>
      </c>
      <c r="D838" s="154" t="s">
        <v>74</v>
      </c>
      <c r="E838" s="154" t="s">
        <v>455</v>
      </c>
      <c r="F838" s="154" t="s">
        <v>87</v>
      </c>
      <c r="G838" s="154">
        <v>29101</v>
      </c>
      <c r="H838" s="154" t="s">
        <v>1026</v>
      </c>
      <c r="I838" s="155" t="s">
        <v>1027</v>
      </c>
      <c r="J838" s="156" t="s">
        <v>1028</v>
      </c>
      <c r="K838" s="156" t="s">
        <v>379</v>
      </c>
      <c r="L838" s="157" t="s">
        <v>379</v>
      </c>
      <c r="M838" s="141" t="s">
        <v>54</v>
      </c>
      <c r="N838" s="156" t="s">
        <v>1024</v>
      </c>
      <c r="O838" s="158">
        <v>512</v>
      </c>
      <c r="P838" s="158" t="s">
        <v>952</v>
      </c>
      <c r="Q838" s="159">
        <v>512</v>
      </c>
      <c r="R838" s="154">
        <v>512</v>
      </c>
      <c r="S838" s="160">
        <v>0</v>
      </c>
      <c r="T838" s="160">
        <v>0</v>
      </c>
      <c r="U838" s="160">
        <v>0</v>
      </c>
      <c r="V838" s="160">
        <v>0</v>
      </c>
      <c r="W838" s="160">
        <v>0</v>
      </c>
      <c r="X838" s="160">
        <v>0</v>
      </c>
      <c r="Y838" s="160">
        <v>0</v>
      </c>
      <c r="Z838" s="160">
        <v>0</v>
      </c>
      <c r="AA838" s="160">
        <v>0</v>
      </c>
      <c r="AB838" s="160">
        <v>0</v>
      </c>
      <c r="AC838" s="160">
        <v>0</v>
      </c>
    </row>
    <row r="839" spans="1:29" s="4" customFormat="1" ht="30" customHeight="1" x14ac:dyDescent="0.3">
      <c r="A839" s="152" t="s">
        <v>947</v>
      </c>
      <c r="B839" s="153" t="s">
        <v>948</v>
      </c>
      <c r="C839" s="154" t="s">
        <v>948</v>
      </c>
      <c r="D839" s="154" t="s">
        <v>74</v>
      </c>
      <c r="E839" s="154" t="s">
        <v>455</v>
      </c>
      <c r="F839" s="154" t="s">
        <v>87</v>
      </c>
      <c r="G839" s="154">
        <v>29101</v>
      </c>
      <c r="H839" s="154" t="s">
        <v>1029</v>
      </c>
      <c r="I839" s="155" t="s">
        <v>1030</v>
      </c>
      <c r="J839" s="156" t="s">
        <v>1031</v>
      </c>
      <c r="K839" s="156" t="s">
        <v>379</v>
      </c>
      <c r="L839" s="157" t="s">
        <v>379</v>
      </c>
      <c r="M839" s="141" t="s">
        <v>57</v>
      </c>
      <c r="N839" s="156" t="s">
        <v>1024</v>
      </c>
      <c r="O839" s="158">
        <v>487.2</v>
      </c>
      <c r="P839" s="158" t="s">
        <v>952</v>
      </c>
      <c r="Q839" s="159">
        <v>488</v>
      </c>
      <c r="R839" s="154">
        <v>488</v>
      </c>
      <c r="S839" s="160">
        <v>0</v>
      </c>
      <c r="T839" s="160">
        <v>0</v>
      </c>
      <c r="U839" s="160">
        <v>0</v>
      </c>
      <c r="V839" s="160">
        <v>0</v>
      </c>
      <c r="W839" s="160">
        <v>0</v>
      </c>
      <c r="X839" s="160">
        <v>0</v>
      </c>
      <c r="Y839" s="160">
        <v>0</v>
      </c>
      <c r="Z839" s="160">
        <v>0</v>
      </c>
      <c r="AA839" s="160">
        <v>0</v>
      </c>
      <c r="AB839" s="160">
        <v>0</v>
      </c>
      <c r="AC839" s="160">
        <v>0</v>
      </c>
    </row>
    <row r="840" spans="1:29" s="4" customFormat="1" ht="30" customHeight="1" x14ac:dyDescent="0.3">
      <c r="A840" s="152" t="s">
        <v>947</v>
      </c>
      <c r="B840" s="153" t="s">
        <v>948</v>
      </c>
      <c r="C840" s="154" t="s">
        <v>948</v>
      </c>
      <c r="D840" s="154" t="s">
        <v>74</v>
      </c>
      <c r="E840" s="154" t="s">
        <v>455</v>
      </c>
      <c r="F840" s="154" t="s">
        <v>87</v>
      </c>
      <c r="G840" s="154">
        <v>24901</v>
      </c>
      <c r="H840" s="154" t="s">
        <v>1032</v>
      </c>
      <c r="I840" s="155" t="s">
        <v>362</v>
      </c>
      <c r="J840" s="156" t="s">
        <v>1033</v>
      </c>
      <c r="K840" s="156" t="s">
        <v>379</v>
      </c>
      <c r="L840" s="157" t="s">
        <v>379</v>
      </c>
      <c r="M840" s="141" t="s">
        <v>54</v>
      </c>
      <c r="N840" s="156" t="s">
        <v>1034</v>
      </c>
      <c r="O840" s="158">
        <v>71.709999999999994</v>
      </c>
      <c r="P840" s="158" t="s">
        <v>952</v>
      </c>
      <c r="Q840" s="159">
        <v>502</v>
      </c>
      <c r="R840" s="154">
        <v>502</v>
      </c>
      <c r="S840" s="160">
        <v>0</v>
      </c>
      <c r="T840" s="160">
        <v>0</v>
      </c>
      <c r="U840" s="160">
        <v>0</v>
      </c>
      <c r="V840" s="160">
        <v>0</v>
      </c>
      <c r="W840" s="160">
        <v>0</v>
      </c>
      <c r="X840" s="160">
        <v>0</v>
      </c>
      <c r="Y840" s="160">
        <v>0</v>
      </c>
      <c r="Z840" s="160">
        <v>0</v>
      </c>
      <c r="AA840" s="160">
        <v>0</v>
      </c>
      <c r="AB840" s="160">
        <v>0</v>
      </c>
      <c r="AC840" s="160">
        <v>0</v>
      </c>
    </row>
    <row r="841" spans="1:29" s="4" customFormat="1" ht="30" customHeight="1" x14ac:dyDescent="0.3">
      <c r="A841" s="152" t="s">
        <v>947</v>
      </c>
      <c r="B841" s="153" t="s">
        <v>1035</v>
      </c>
      <c r="C841" s="154" t="s">
        <v>948</v>
      </c>
      <c r="D841" s="154" t="s">
        <v>74</v>
      </c>
      <c r="E841" s="154" t="s">
        <v>455</v>
      </c>
      <c r="F841" s="154" t="s">
        <v>87</v>
      </c>
      <c r="G841" s="154">
        <v>21601</v>
      </c>
      <c r="H841" s="154" t="s">
        <v>481</v>
      </c>
      <c r="I841" s="155" t="s">
        <v>772</v>
      </c>
      <c r="J841" s="156" t="s">
        <v>1036</v>
      </c>
      <c r="K841" s="156" t="s">
        <v>379</v>
      </c>
      <c r="L841" s="157" t="s">
        <v>379</v>
      </c>
      <c r="M841" s="141" t="s">
        <v>54</v>
      </c>
      <c r="N841" s="156" t="s">
        <v>1024</v>
      </c>
      <c r="O841" s="158">
        <v>14</v>
      </c>
      <c r="P841" s="158" t="s">
        <v>952</v>
      </c>
      <c r="Q841" s="159">
        <v>179</v>
      </c>
      <c r="R841" s="160">
        <v>0</v>
      </c>
      <c r="S841" s="160">
        <v>0</v>
      </c>
      <c r="T841" s="160">
        <v>0</v>
      </c>
      <c r="U841" s="160">
        <v>0</v>
      </c>
      <c r="V841" s="160">
        <v>0</v>
      </c>
      <c r="W841" s="56">
        <v>14</v>
      </c>
      <c r="X841" s="160">
        <v>0</v>
      </c>
      <c r="Y841" s="160">
        <v>0</v>
      </c>
      <c r="Z841" s="160">
        <v>0</v>
      </c>
      <c r="AA841" s="160">
        <v>0</v>
      </c>
      <c r="AB841" s="160">
        <v>0</v>
      </c>
      <c r="AC841" s="56">
        <v>14</v>
      </c>
    </row>
    <row r="842" spans="1:29" s="4" customFormat="1" ht="30" customHeight="1" x14ac:dyDescent="0.3">
      <c r="A842" s="152" t="s">
        <v>947</v>
      </c>
      <c r="B842" s="153" t="s">
        <v>1035</v>
      </c>
      <c r="C842" s="154" t="s">
        <v>948</v>
      </c>
      <c r="D842" s="154" t="s">
        <v>74</v>
      </c>
      <c r="E842" s="154" t="s">
        <v>455</v>
      </c>
      <c r="F842" s="154" t="s">
        <v>87</v>
      </c>
      <c r="G842" s="154">
        <v>21601</v>
      </c>
      <c r="H842" s="154" t="s">
        <v>481</v>
      </c>
      <c r="I842" s="155" t="s">
        <v>672</v>
      </c>
      <c r="J842" s="156" t="s">
        <v>1037</v>
      </c>
      <c r="K842" s="156" t="s">
        <v>379</v>
      </c>
      <c r="L842" s="157" t="s">
        <v>379</v>
      </c>
      <c r="M842" s="141" t="s">
        <v>54</v>
      </c>
      <c r="N842" s="156" t="s">
        <v>1024</v>
      </c>
      <c r="O842" s="158">
        <v>45.576399999999992</v>
      </c>
      <c r="P842" s="158" t="s">
        <v>952</v>
      </c>
      <c r="Q842" s="159">
        <v>45.5764</v>
      </c>
      <c r="R842" s="160">
        <v>0</v>
      </c>
      <c r="S842" s="160">
        <v>0</v>
      </c>
      <c r="T842" s="160">
        <v>0</v>
      </c>
      <c r="U842" s="160">
        <v>0</v>
      </c>
      <c r="V842" s="160">
        <v>0</v>
      </c>
      <c r="W842" s="160">
        <v>0</v>
      </c>
      <c r="X842" s="160">
        <v>0</v>
      </c>
      <c r="Y842" s="160">
        <v>0</v>
      </c>
      <c r="Z842" s="160">
        <v>0</v>
      </c>
      <c r="AA842" s="160">
        <v>0</v>
      </c>
      <c r="AB842" s="160">
        <v>0</v>
      </c>
      <c r="AC842" s="56">
        <v>273</v>
      </c>
    </row>
    <row r="843" spans="1:29" s="4" customFormat="1" ht="30" customHeight="1" x14ac:dyDescent="0.3">
      <c r="A843" s="152" t="s">
        <v>947</v>
      </c>
      <c r="B843" s="153" t="s">
        <v>1035</v>
      </c>
      <c r="C843" s="154" t="s">
        <v>948</v>
      </c>
      <c r="D843" s="154" t="s">
        <v>74</v>
      </c>
      <c r="E843" s="154" t="s">
        <v>455</v>
      </c>
      <c r="F843" s="154" t="s">
        <v>87</v>
      </c>
      <c r="G843" s="154">
        <v>21601</v>
      </c>
      <c r="H843" s="154" t="s">
        <v>481</v>
      </c>
      <c r="I843" s="155" t="s">
        <v>630</v>
      </c>
      <c r="J843" s="156" t="s">
        <v>1038</v>
      </c>
      <c r="K843" s="156" t="s">
        <v>379</v>
      </c>
      <c r="L843" s="157" t="s">
        <v>379</v>
      </c>
      <c r="M843" s="141" t="s">
        <v>54</v>
      </c>
      <c r="N843" s="156" t="s">
        <v>1022</v>
      </c>
      <c r="O843" s="158">
        <v>44.08</v>
      </c>
      <c r="P843" s="158" t="s">
        <v>952</v>
      </c>
      <c r="Q843" s="159">
        <v>88.16</v>
      </c>
      <c r="R843" s="160">
        <v>0</v>
      </c>
      <c r="S843" s="160">
        <v>0</v>
      </c>
      <c r="T843" s="160">
        <v>0</v>
      </c>
      <c r="U843" s="160">
        <v>0</v>
      </c>
      <c r="V843" s="160">
        <v>0</v>
      </c>
      <c r="W843" s="160">
        <v>0</v>
      </c>
      <c r="X843" s="160">
        <v>0</v>
      </c>
      <c r="Y843" s="160">
        <v>0</v>
      </c>
      <c r="Z843" s="160">
        <v>0</v>
      </c>
      <c r="AA843" s="160">
        <v>0</v>
      </c>
      <c r="AB843" s="160">
        <v>0</v>
      </c>
      <c r="AC843" s="56">
        <v>44</v>
      </c>
    </row>
    <row r="844" spans="1:29" s="4" customFormat="1" ht="30" customHeight="1" x14ac:dyDescent="0.3">
      <c r="A844" s="152" t="s">
        <v>947</v>
      </c>
      <c r="B844" s="153" t="s">
        <v>1035</v>
      </c>
      <c r="C844" s="154" t="s">
        <v>948</v>
      </c>
      <c r="D844" s="154" t="s">
        <v>74</v>
      </c>
      <c r="E844" s="154" t="s">
        <v>455</v>
      </c>
      <c r="F844" s="154" t="s">
        <v>87</v>
      </c>
      <c r="G844" s="154">
        <v>21601</v>
      </c>
      <c r="H844" s="154" t="s">
        <v>481</v>
      </c>
      <c r="I844" s="155" t="s">
        <v>621</v>
      </c>
      <c r="J844" s="156" t="s">
        <v>622</v>
      </c>
      <c r="K844" s="156" t="s">
        <v>379</v>
      </c>
      <c r="L844" s="157" t="s">
        <v>379</v>
      </c>
      <c r="M844" s="141" t="s">
        <v>54</v>
      </c>
      <c r="N844" s="156" t="s">
        <v>1022</v>
      </c>
      <c r="O844" s="158">
        <v>48</v>
      </c>
      <c r="P844" s="158" t="s">
        <v>952</v>
      </c>
      <c r="Q844" s="159">
        <v>96.001599999999996</v>
      </c>
      <c r="R844" s="160">
        <v>0</v>
      </c>
      <c r="S844" s="160">
        <v>0</v>
      </c>
      <c r="T844" s="160">
        <v>0</v>
      </c>
      <c r="U844" s="160">
        <v>0</v>
      </c>
      <c r="V844" s="160">
        <v>0</v>
      </c>
      <c r="W844" s="56">
        <v>48</v>
      </c>
      <c r="X844" s="160">
        <v>0</v>
      </c>
      <c r="Y844" s="160">
        <v>0</v>
      </c>
      <c r="Z844" s="160">
        <v>0</v>
      </c>
      <c r="AA844" s="160">
        <v>0</v>
      </c>
      <c r="AB844" s="160">
        <v>0</v>
      </c>
      <c r="AC844" s="56">
        <v>240</v>
      </c>
    </row>
    <row r="845" spans="1:29" s="4" customFormat="1" ht="30" customHeight="1" x14ac:dyDescent="0.3">
      <c r="A845" s="152" t="s">
        <v>947</v>
      </c>
      <c r="B845" s="153" t="s">
        <v>1035</v>
      </c>
      <c r="C845" s="154" t="s">
        <v>948</v>
      </c>
      <c r="D845" s="154" t="s">
        <v>74</v>
      </c>
      <c r="E845" s="154" t="s">
        <v>455</v>
      </c>
      <c r="F845" s="154" t="s">
        <v>87</v>
      </c>
      <c r="G845" s="154">
        <v>21601</v>
      </c>
      <c r="H845" s="154" t="s">
        <v>481</v>
      </c>
      <c r="I845" s="155" t="s">
        <v>896</v>
      </c>
      <c r="J845" s="156" t="s">
        <v>897</v>
      </c>
      <c r="K845" s="156" t="s">
        <v>379</v>
      </c>
      <c r="L845" s="157" t="s">
        <v>379</v>
      </c>
      <c r="M845" s="141" t="s">
        <v>54</v>
      </c>
      <c r="N845" s="156" t="s">
        <v>1024</v>
      </c>
      <c r="O845" s="158">
        <v>28.176399999999997</v>
      </c>
      <c r="P845" s="158" t="s">
        <v>952</v>
      </c>
      <c r="Q845" s="159">
        <v>281.76400000000001</v>
      </c>
      <c r="R845" s="160">
        <v>0</v>
      </c>
      <c r="S845" s="160">
        <v>0</v>
      </c>
      <c r="T845" s="160">
        <v>0</v>
      </c>
      <c r="U845" s="160">
        <v>0</v>
      </c>
      <c r="V845" s="160">
        <v>0</v>
      </c>
      <c r="W845" s="56">
        <v>28.176399999999997</v>
      </c>
      <c r="X845" s="160">
        <v>0</v>
      </c>
      <c r="Y845" s="160">
        <v>0</v>
      </c>
      <c r="Z845" s="160">
        <v>0</v>
      </c>
      <c r="AA845" s="160">
        <v>0</v>
      </c>
      <c r="AB845" s="160">
        <v>0</v>
      </c>
      <c r="AC845" s="56">
        <v>29</v>
      </c>
    </row>
    <row r="846" spans="1:29" s="4" customFormat="1" ht="30" customHeight="1" x14ac:dyDescent="0.3">
      <c r="A846" s="152" t="s">
        <v>947</v>
      </c>
      <c r="B846" s="153" t="s">
        <v>1035</v>
      </c>
      <c r="C846" s="154" t="s">
        <v>948</v>
      </c>
      <c r="D846" s="154" t="s">
        <v>74</v>
      </c>
      <c r="E846" s="154" t="s">
        <v>455</v>
      </c>
      <c r="F846" s="154" t="s">
        <v>87</v>
      </c>
      <c r="G846" s="154">
        <v>21601</v>
      </c>
      <c r="H846" s="154" t="s">
        <v>481</v>
      </c>
      <c r="I846" s="155" t="s">
        <v>538</v>
      </c>
      <c r="J846" s="156" t="s">
        <v>539</v>
      </c>
      <c r="K846" s="156" t="s">
        <v>379</v>
      </c>
      <c r="L846" s="157" t="s">
        <v>379</v>
      </c>
      <c r="M846" s="141" t="s">
        <v>55</v>
      </c>
      <c r="N846" s="156" t="s">
        <v>1024</v>
      </c>
      <c r="O846" s="158">
        <v>509.47199999999998</v>
      </c>
      <c r="P846" s="158" t="s">
        <v>952</v>
      </c>
      <c r="Q846" s="159">
        <v>509.47199999999998</v>
      </c>
      <c r="R846" s="160">
        <v>0</v>
      </c>
      <c r="S846" s="160">
        <v>0</v>
      </c>
      <c r="T846" s="160">
        <v>0</v>
      </c>
      <c r="U846" s="160">
        <v>0</v>
      </c>
      <c r="V846" s="160">
        <v>0</v>
      </c>
      <c r="W846" s="56">
        <v>509.47199999999998</v>
      </c>
      <c r="X846" s="160">
        <v>0</v>
      </c>
      <c r="Y846" s="160">
        <v>0</v>
      </c>
      <c r="Z846" s="160">
        <v>0</v>
      </c>
      <c r="AA846" s="160">
        <v>0</v>
      </c>
      <c r="AB846" s="160">
        <v>0</v>
      </c>
      <c r="AC846" s="56"/>
    </row>
    <row r="847" spans="1:29" s="4" customFormat="1" ht="30" customHeight="1" x14ac:dyDescent="0.3">
      <c r="A847" s="152" t="s">
        <v>947</v>
      </c>
      <c r="B847" s="153" t="s">
        <v>1035</v>
      </c>
      <c r="C847" s="154" t="s">
        <v>948</v>
      </c>
      <c r="D847" s="154" t="s">
        <v>74</v>
      </c>
      <c r="E847" s="154" t="s">
        <v>455</v>
      </c>
      <c r="F847" s="154" t="s">
        <v>87</v>
      </c>
      <c r="G847" s="154">
        <v>29401</v>
      </c>
      <c r="H847" s="154" t="s">
        <v>551</v>
      </c>
      <c r="I847" s="155" t="s">
        <v>425</v>
      </c>
      <c r="J847" s="156" t="s">
        <v>426</v>
      </c>
      <c r="K847" s="156" t="s">
        <v>379</v>
      </c>
      <c r="L847" s="157" t="s">
        <v>379</v>
      </c>
      <c r="M847" s="141" t="s">
        <v>54</v>
      </c>
      <c r="N847" s="156">
        <v>15.018379135305445</v>
      </c>
      <c r="O847" s="158">
        <v>114.25999999999999</v>
      </c>
      <c r="P847" s="158" t="s">
        <v>952</v>
      </c>
      <c r="Q847" s="159">
        <v>1716</v>
      </c>
      <c r="R847" s="154">
        <v>799.81999999999994</v>
      </c>
      <c r="S847" s="160">
        <v>0</v>
      </c>
      <c r="T847" s="56">
        <v>228.51999999999998</v>
      </c>
      <c r="U847" s="56">
        <v>0</v>
      </c>
      <c r="V847" s="56">
        <v>0</v>
      </c>
      <c r="W847" s="56">
        <v>0</v>
      </c>
      <c r="X847" s="56">
        <v>0</v>
      </c>
      <c r="Y847" s="56">
        <v>0</v>
      </c>
      <c r="Z847" s="56">
        <v>695</v>
      </c>
      <c r="AA847" s="56">
        <v>0</v>
      </c>
      <c r="AB847" s="56">
        <v>0</v>
      </c>
      <c r="AC847" s="56">
        <v>0</v>
      </c>
    </row>
    <row r="848" spans="1:29" s="4" customFormat="1" ht="30" customHeight="1" x14ac:dyDescent="0.3">
      <c r="A848" s="152" t="s">
        <v>947</v>
      </c>
      <c r="B848" s="153" t="s">
        <v>1035</v>
      </c>
      <c r="C848" s="154" t="s">
        <v>948</v>
      </c>
      <c r="D848" s="154" t="s">
        <v>74</v>
      </c>
      <c r="E848" s="154" t="s">
        <v>455</v>
      </c>
      <c r="F848" s="154" t="s">
        <v>87</v>
      </c>
      <c r="G848" s="154">
        <v>29401</v>
      </c>
      <c r="H848" s="154" t="s">
        <v>551</v>
      </c>
      <c r="I848" s="155" t="s">
        <v>637</v>
      </c>
      <c r="J848" s="156" t="s">
        <v>638</v>
      </c>
      <c r="K848" s="156" t="s">
        <v>379</v>
      </c>
      <c r="L848" s="157" t="s">
        <v>379</v>
      </c>
      <c r="M848" s="141" t="s">
        <v>54</v>
      </c>
      <c r="N848" s="156">
        <v>100</v>
      </c>
      <c r="O848" s="158">
        <v>26.68</v>
      </c>
      <c r="P848" s="158" t="s">
        <v>952</v>
      </c>
      <c r="Q848" s="159">
        <v>2668</v>
      </c>
      <c r="R848" s="154">
        <v>189</v>
      </c>
      <c r="S848" s="160">
        <v>0</v>
      </c>
      <c r="T848" s="56">
        <v>729</v>
      </c>
      <c r="U848" s="56">
        <v>0</v>
      </c>
      <c r="V848" s="56">
        <v>0</v>
      </c>
      <c r="W848" s="56">
        <v>1452</v>
      </c>
      <c r="X848" s="56">
        <v>0</v>
      </c>
      <c r="Y848" s="56">
        <v>0</v>
      </c>
      <c r="Z848" s="56">
        <v>293.48</v>
      </c>
      <c r="AA848" s="56">
        <v>0</v>
      </c>
      <c r="AB848" s="56">
        <v>0</v>
      </c>
      <c r="AC848" s="56">
        <v>0</v>
      </c>
    </row>
    <row r="849" spans="1:29" s="4" customFormat="1" ht="30" customHeight="1" x14ac:dyDescent="0.3">
      <c r="A849" s="152" t="s">
        <v>947</v>
      </c>
      <c r="B849" s="153" t="s">
        <v>1035</v>
      </c>
      <c r="C849" s="154" t="s">
        <v>948</v>
      </c>
      <c r="D849" s="154" t="s">
        <v>74</v>
      </c>
      <c r="E849" s="154" t="s">
        <v>455</v>
      </c>
      <c r="F849" s="154" t="s">
        <v>87</v>
      </c>
      <c r="G849" s="154">
        <v>29401</v>
      </c>
      <c r="H849" s="154" t="s">
        <v>551</v>
      </c>
      <c r="I849" s="155" t="s">
        <v>1039</v>
      </c>
      <c r="J849" s="156" t="s">
        <v>1040</v>
      </c>
      <c r="K849" s="156" t="s">
        <v>379</v>
      </c>
      <c r="L849" s="157" t="s">
        <v>379</v>
      </c>
      <c r="M849" s="141" t="s">
        <v>54</v>
      </c>
      <c r="N849" s="156">
        <v>5</v>
      </c>
      <c r="O849" s="158">
        <v>2505.6</v>
      </c>
      <c r="P849" s="158" t="s">
        <v>952</v>
      </c>
      <c r="Q849" s="159">
        <v>12528</v>
      </c>
      <c r="R849" s="154">
        <v>5011.2</v>
      </c>
      <c r="S849" s="160">
        <v>0</v>
      </c>
      <c r="T849" s="56">
        <v>0</v>
      </c>
      <c r="U849" s="56">
        <v>0</v>
      </c>
      <c r="V849" s="56">
        <v>0</v>
      </c>
      <c r="W849" s="56">
        <v>2505</v>
      </c>
      <c r="X849" s="56">
        <v>0</v>
      </c>
      <c r="Y849" s="56">
        <v>0</v>
      </c>
      <c r="Z849" s="56">
        <v>5011.2</v>
      </c>
      <c r="AA849" s="56">
        <v>0</v>
      </c>
      <c r="AB849" s="56">
        <v>0</v>
      </c>
      <c r="AC849" s="56">
        <v>0</v>
      </c>
    </row>
    <row r="850" spans="1:29" s="4" customFormat="1" ht="30" customHeight="1" x14ac:dyDescent="0.3">
      <c r="A850" s="152" t="s">
        <v>947</v>
      </c>
      <c r="B850" s="153" t="s">
        <v>1035</v>
      </c>
      <c r="C850" s="154" t="s">
        <v>948</v>
      </c>
      <c r="D850" s="154" t="s">
        <v>74</v>
      </c>
      <c r="E850" s="154" t="s">
        <v>455</v>
      </c>
      <c r="F850" s="154" t="s">
        <v>87</v>
      </c>
      <c r="G850" s="154">
        <v>29401</v>
      </c>
      <c r="H850" s="154" t="s">
        <v>551</v>
      </c>
      <c r="I850" s="155" t="s">
        <v>1041</v>
      </c>
      <c r="J850" s="156" t="s">
        <v>1042</v>
      </c>
      <c r="K850" s="156" t="s">
        <v>379</v>
      </c>
      <c r="L850" s="157" t="s">
        <v>379</v>
      </c>
      <c r="M850" s="141" t="s">
        <v>54</v>
      </c>
      <c r="N850" s="156">
        <v>2.0011357247911685</v>
      </c>
      <c r="O850" s="158">
        <v>2042.7483999999999</v>
      </c>
      <c r="P850" s="158" t="s">
        <v>952</v>
      </c>
      <c r="Q850" s="159">
        <v>4087.8168000000001</v>
      </c>
      <c r="R850" s="154">
        <v>0</v>
      </c>
      <c r="S850" s="160">
        <v>0</v>
      </c>
      <c r="T850" s="56">
        <v>2042.7483999999999</v>
      </c>
      <c r="U850" s="56">
        <v>0</v>
      </c>
      <c r="V850" s="56">
        <v>0</v>
      </c>
      <c r="W850" s="56">
        <v>2042.7483999999999</v>
      </c>
      <c r="X850" s="56">
        <v>0</v>
      </c>
      <c r="Y850" s="56">
        <v>0</v>
      </c>
      <c r="Z850" s="56">
        <v>0</v>
      </c>
      <c r="AA850" s="56">
        <v>0</v>
      </c>
      <c r="AB850" s="56">
        <v>0</v>
      </c>
      <c r="AC850" s="56">
        <v>0</v>
      </c>
    </row>
    <row r="851" spans="1:29" s="4" customFormat="1" ht="30" customHeight="1" x14ac:dyDescent="0.3">
      <c r="A851" s="152" t="s">
        <v>947</v>
      </c>
      <c r="B851" s="153" t="s">
        <v>1035</v>
      </c>
      <c r="C851" s="154" t="s">
        <v>948</v>
      </c>
      <c r="D851" s="154" t="s">
        <v>74</v>
      </c>
      <c r="E851" s="154" t="s">
        <v>572</v>
      </c>
      <c r="F851" s="154" t="s">
        <v>87</v>
      </c>
      <c r="G851" s="154">
        <v>26103</v>
      </c>
      <c r="H851" s="154" t="s">
        <v>1043</v>
      </c>
      <c r="I851" s="155" t="s">
        <v>489</v>
      </c>
      <c r="J851" s="156" t="s">
        <v>490</v>
      </c>
      <c r="K851" s="156" t="s">
        <v>379</v>
      </c>
      <c r="L851" s="157" t="s">
        <v>379</v>
      </c>
      <c r="M851" s="141" t="s">
        <v>726</v>
      </c>
      <c r="N851" s="156" t="s">
        <v>1024</v>
      </c>
      <c r="O851" s="158">
        <v>1160</v>
      </c>
      <c r="P851" s="158" t="s">
        <v>952</v>
      </c>
      <c r="Q851" s="159">
        <v>12000</v>
      </c>
      <c r="R851" s="154">
        <v>1000</v>
      </c>
      <c r="S851" s="160">
        <v>1000</v>
      </c>
      <c r="T851" s="56">
        <v>1000</v>
      </c>
      <c r="U851" s="56">
        <v>1000</v>
      </c>
      <c r="V851" s="56">
        <v>1000</v>
      </c>
      <c r="W851" s="56">
        <v>1000</v>
      </c>
      <c r="X851" s="56">
        <v>1000</v>
      </c>
      <c r="Y851" s="56">
        <v>1000</v>
      </c>
      <c r="Z851" s="56">
        <v>1000</v>
      </c>
      <c r="AA851" s="56">
        <v>1000</v>
      </c>
      <c r="AB851" s="56">
        <v>1000</v>
      </c>
      <c r="AC851" s="56">
        <v>1000</v>
      </c>
    </row>
    <row r="852" spans="1:29" s="4" customFormat="1" ht="30" customHeight="1" x14ac:dyDescent="0.3">
      <c r="A852" s="152" t="s">
        <v>947</v>
      </c>
      <c r="B852" s="153" t="s">
        <v>1035</v>
      </c>
      <c r="C852" s="154" t="s">
        <v>948</v>
      </c>
      <c r="D852" s="154" t="s">
        <v>74</v>
      </c>
      <c r="E852" s="154" t="s">
        <v>572</v>
      </c>
      <c r="F852" s="154" t="s">
        <v>87</v>
      </c>
      <c r="G852" s="154">
        <v>37501</v>
      </c>
      <c r="H852" s="154" t="s">
        <v>997</v>
      </c>
      <c r="I852" s="155"/>
      <c r="J852" s="156" t="s">
        <v>1044</v>
      </c>
      <c r="K852" s="156" t="s">
        <v>379</v>
      </c>
      <c r="L852" s="157" t="s">
        <v>379</v>
      </c>
      <c r="M852" s="141"/>
      <c r="N852" s="156" t="s">
        <v>1024</v>
      </c>
      <c r="O852" s="158">
        <v>20880</v>
      </c>
      <c r="P852" s="158" t="s">
        <v>952</v>
      </c>
      <c r="Q852" s="159">
        <v>18000</v>
      </c>
      <c r="R852" s="154">
        <v>1500</v>
      </c>
      <c r="S852" s="160">
        <v>1500</v>
      </c>
      <c r="T852" s="56">
        <v>1500</v>
      </c>
      <c r="U852" s="56">
        <v>1500</v>
      </c>
      <c r="V852" s="56">
        <v>1500</v>
      </c>
      <c r="W852" s="56">
        <v>1500</v>
      </c>
      <c r="X852" s="56">
        <v>1500</v>
      </c>
      <c r="Y852" s="56">
        <v>1500</v>
      </c>
      <c r="Z852" s="56">
        <v>1500</v>
      </c>
      <c r="AA852" s="56">
        <v>1500</v>
      </c>
      <c r="AB852" s="56">
        <v>1500</v>
      </c>
      <c r="AC852" s="56">
        <v>1500</v>
      </c>
    </row>
    <row r="853" spans="1:29" s="4" customFormat="1" ht="30" customHeight="1" x14ac:dyDescent="0.3">
      <c r="A853" s="152" t="s">
        <v>947</v>
      </c>
      <c r="B853" s="153" t="s">
        <v>1035</v>
      </c>
      <c r="C853" s="154" t="s">
        <v>948</v>
      </c>
      <c r="D853" s="154" t="s">
        <v>74</v>
      </c>
      <c r="E853" s="154" t="s">
        <v>455</v>
      </c>
      <c r="F853" s="154" t="s">
        <v>87</v>
      </c>
      <c r="G853" s="154">
        <v>33604</v>
      </c>
      <c r="H853" s="154" t="s">
        <v>1045</v>
      </c>
      <c r="I853" s="155"/>
      <c r="J853" s="156" t="s">
        <v>1046</v>
      </c>
      <c r="K853" s="156" t="s">
        <v>379</v>
      </c>
      <c r="L853" s="157" t="s">
        <v>379</v>
      </c>
      <c r="M853" s="141"/>
      <c r="N853" s="156" t="s">
        <v>1024</v>
      </c>
      <c r="O853" s="158">
        <v>4176</v>
      </c>
      <c r="P853" s="158" t="s">
        <v>952</v>
      </c>
      <c r="Q853" s="159">
        <v>3600</v>
      </c>
      <c r="R853" s="154">
        <v>0</v>
      </c>
      <c r="S853" s="160">
        <v>1200</v>
      </c>
      <c r="T853" s="56">
        <v>0</v>
      </c>
      <c r="U853" s="56">
        <v>0</v>
      </c>
      <c r="V853" s="56">
        <v>0</v>
      </c>
      <c r="W853" s="56">
        <v>0</v>
      </c>
      <c r="X853" s="56">
        <v>0</v>
      </c>
      <c r="Y853" s="56">
        <v>0</v>
      </c>
      <c r="Z853" s="56">
        <v>2400</v>
      </c>
      <c r="AA853" s="56">
        <v>0</v>
      </c>
      <c r="AB853" s="56">
        <v>0</v>
      </c>
      <c r="AC853" s="56">
        <v>0</v>
      </c>
    </row>
  </sheetData>
  <autoFilter ref="A10:AC183" xr:uid="{0D8978AC-C5C8-41CE-8797-1FE080EE20C8}"/>
  <mergeCells count="1">
    <mergeCell ref="A7:Z7"/>
  </mergeCells>
  <pageMargins left="0" right="0" top="0" bottom="0" header="0" footer="0"/>
  <pageSetup scale="4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INICIAL 2023 (2)</vt:lpstr>
      <vt:lpstr>'PAAASINE INICIAL 2023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Ontiveros Lara</dc:creator>
  <cp:lastModifiedBy>123</cp:lastModifiedBy>
  <cp:lastPrinted>2023-01-17T20:23:27Z</cp:lastPrinted>
  <dcterms:created xsi:type="dcterms:W3CDTF">2022-04-18T19:21:12Z</dcterms:created>
  <dcterms:modified xsi:type="dcterms:W3CDTF">2023-03-08T19:45:28Z</dcterms:modified>
</cp:coreProperties>
</file>