
<file path=[Content_Types].xml><?xml version="1.0" encoding="utf-8"?>
<Types xmlns="http://schemas.openxmlformats.org/package/2006/content-types">
  <Default Extension="bin" ContentType="application/vnd.openxmlformats-officedocument.spreadsheetml.printerSettings"/>
  <Default Extension="png" ContentType="image/png"/>
  <Default Extension="svg" ContentType="image/svg+xml"/>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trlProps/ctrlProp2.xml" ContentType="application/vnd.ms-excel.controlproperties+xml"/>
  <Override PartName="/docProps/core.xml" ContentType="application/vnd.openxmlformats-package.core-properties+xml"/>
  <Override PartName="/docProps/app.xml" ContentType="application/vnd.openxmlformats-officedocument.extended-properties+xml"/>
  <Override PartName="/xl/ctrlProps/ctrlProp1.xml" ContentType="application/vnd.ms-excel.controlproperties+xml"/>
  <Override PartName="/xl/calcChain.xml" ContentType="application/vnd.openxmlformats-officedocument.spreadsheetml.calcChain+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427"/>
  <workbookPr defaultThemeVersion="166925"/>
  <mc:AlternateContent xmlns:mc="http://schemas.openxmlformats.org/markup-compatibility/2006">
    <mc:Choice Requires="x15">
      <x15ac:absPath xmlns:x15ac="http://schemas.microsoft.com/office/spreadsheetml/2010/11/ac" url="C:\Users\benjamin.mendoza\Documents\0INE21\04 Estudio participación ciudadana\Final\Monografías Estatales\"/>
    </mc:Choice>
  </mc:AlternateContent>
  <xr:revisionPtr revIDLastSave="0" documentId="13_ncr:1_{95BB2077-9930-4A29-85FF-8ABC1A8C898A}" xr6:coauthVersionLast="47" xr6:coauthVersionMax="47" xr10:uidLastSave="{00000000-0000-0000-0000-000000000000}"/>
  <bookViews>
    <workbookView xWindow="-108" yWindow="-108" windowWidth="23256" windowHeight="12576" xr2:uid="{532B6856-98C4-468F-9FF1-7FBA2860313D}"/>
  </bookViews>
  <sheets>
    <sheet name="Monografía" sheetId="6" r:id="rId1"/>
    <sheet name="BD_Demografía" sheetId="7" state="hidden" r:id="rId2"/>
    <sheet name="BD_ListaNominal" sheetId="9" state="hidden" r:id="rId3"/>
    <sheet name="BD_ParticipaciónCiudadana" sheetId="4" state="hidden" r:id="rId4"/>
    <sheet name="BD_Indicadores" sheetId="3" state="hidden" r:id="rId5"/>
    <sheet name="Esquema" sheetId="2" state="hidden" r:id="rId6"/>
    <sheet name="Catálogo" sheetId="8" state="hidden" r:id="rId7"/>
  </sheets>
  <definedNames>
    <definedName name="_xlnm._FilterDatabase" localSheetId="0" hidden="1">Monografía!$C$8:$C$8</definedName>
    <definedName name="OLE_LINK1" localSheetId="1">BD_Demografía!$ED$5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T313" i="6" l="1"/>
  <c r="T312" i="6"/>
  <c r="T310" i="6"/>
  <c r="T309" i="6"/>
  <c r="T307" i="6"/>
  <c r="T306" i="6"/>
  <c r="T305" i="6"/>
  <c r="T304" i="6"/>
  <c r="T302" i="6"/>
  <c r="T301" i="6"/>
  <c r="T300" i="6"/>
  <c r="T299" i="6"/>
  <c r="T297" i="6"/>
  <c r="T296" i="6"/>
  <c r="T295" i="6"/>
  <c r="T294" i="6"/>
  <c r="T292" i="6"/>
  <c r="T291" i="6"/>
  <c r="T289" i="6"/>
  <c r="T287" i="6"/>
  <c r="T286" i="6"/>
  <c r="T285" i="6"/>
  <c r="T283" i="6"/>
  <c r="T282" i="6"/>
  <c r="T281" i="6"/>
  <c r="T280" i="6"/>
  <c r="T279" i="6"/>
  <c r="T277" i="6"/>
  <c r="T275" i="6"/>
  <c r="T274" i="6"/>
  <c r="T273" i="6"/>
  <c r="T272" i="6"/>
  <c r="T270" i="6"/>
  <c r="T269" i="6"/>
  <c r="T268" i="6"/>
  <c r="EA6" i="7"/>
  <c r="EA7" i="7"/>
  <c r="EA8" i="7"/>
  <c r="EA9" i="7"/>
  <c r="EA10" i="7"/>
  <c r="EA11" i="7"/>
  <c r="EA12" i="7"/>
  <c r="EA13" i="7"/>
  <c r="EA14" i="7"/>
  <c r="EA15" i="7"/>
  <c r="EA16" i="7"/>
  <c r="EA17" i="7"/>
  <c r="EA18" i="7"/>
  <c r="EA19" i="7"/>
  <c r="EA20" i="7"/>
  <c r="EA21" i="7"/>
  <c r="EA22" i="7"/>
  <c r="EA23" i="7"/>
  <c r="EA24" i="7"/>
  <c r="EA25" i="7"/>
  <c r="EA26" i="7"/>
  <c r="EA27" i="7"/>
  <c r="EA28" i="7"/>
  <c r="EA29" i="7"/>
  <c r="EA30" i="7"/>
  <c r="E21" i="6" s="1"/>
  <c r="EA31" i="7"/>
  <c r="EA32" i="7"/>
  <c r="EA33" i="7"/>
  <c r="EA34" i="7"/>
  <c r="EA35" i="7"/>
  <c r="EA36" i="7"/>
  <c r="EA5" i="7"/>
  <c r="Q27" i="6"/>
  <c r="EB6" i="7"/>
  <c r="EB7" i="7"/>
  <c r="EB8" i="7"/>
  <c r="EB9" i="7"/>
  <c r="EB10" i="7"/>
  <c r="EB11" i="7"/>
  <c r="EB12" i="7"/>
  <c r="EB13" i="7"/>
  <c r="EB14" i="7"/>
  <c r="EB15" i="7"/>
  <c r="EB16" i="7"/>
  <c r="EB17" i="7"/>
  <c r="EB18" i="7"/>
  <c r="EB19" i="7"/>
  <c r="EB20" i="7"/>
  <c r="EB21" i="7"/>
  <c r="EB22" i="7"/>
  <c r="EB23" i="7"/>
  <c r="EB24" i="7"/>
  <c r="EB25" i="7"/>
  <c r="EB26" i="7"/>
  <c r="EB27" i="7"/>
  <c r="EB28" i="7"/>
  <c r="EB29" i="7"/>
  <c r="EB30" i="7"/>
  <c r="EB31" i="7"/>
  <c r="EB32" i="7"/>
  <c r="EB33" i="7"/>
  <c r="EB34" i="7"/>
  <c r="EB35" i="7"/>
  <c r="EB36" i="7"/>
  <c r="EB37" i="7"/>
  <c r="EB5" i="7"/>
  <c r="Q21" i="6"/>
  <c r="EC6" i="7"/>
  <c r="EC7" i="7"/>
  <c r="EC8" i="7"/>
  <c r="EC9" i="7"/>
  <c r="EC10" i="7"/>
  <c r="EC11" i="7"/>
  <c r="EC12" i="7"/>
  <c r="EC13" i="7"/>
  <c r="EC14" i="7"/>
  <c r="EC15" i="7"/>
  <c r="EC16" i="7"/>
  <c r="EC17" i="7"/>
  <c r="EC18" i="7"/>
  <c r="EC19" i="7"/>
  <c r="EC20" i="7"/>
  <c r="EC21" i="7"/>
  <c r="EC22" i="7"/>
  <c r="EC23" i="7"/>
  <c r="EC24" i="7"/>
  <c r="EC25" i="7"/>
  <c r="EC26" i="7"/>
  <c r="EC27" i="7"/>
  <c r="EC28" i="7"/>
  <c r="EC29" i="7"/>
  <c r="EC30" i="7"/>
  <c r="EC31" i="7"/>
  <c r="EC32" i="7"/>
  <c r="EC33" i="7"/>
  <c r="EC34" i="7"/>
  <c r="EC35" i="7"/>
  <c r="EC36" i="7"/>
  <c r="EC37" i="7"/>
  <c r="EC5" i="7"/>
  <c r="T102" i="6"/>
  <c r="S102" i="6"/>
  <c r="H102" i="6"/>
  <c r="G102" i="6"/>
  <c r="E27" i="6"/>
  <c r="E25" i="6"/>
  <c r="E23" i="6"/>
  <c r="E19" i="6"/>
  <c r="E17" i="6"/>
  <c r="D6" i="7"/>
  <c r="D7" i="7"/>
  <c r="D8" i="7"/>
  <c r="D9" i="7"/>
  <c r="D10" i="7"/>
  <c r="D11" i="7"/>
  <c r="D12" i="7"/>
  <c r="D13" i="7"/>
  <c r="D14" i="7"/>
  <c r="D15" i="7"/>
  <c r="D16" i="7"/>
  <c r="D17" i="7"/>
  <c r="D18" i="7"/>
  <c r="D19" i="7"/>
  <c r="D20" i="7"/>
  <c r="D21" i="7"/>
  <c r="D22" i="7"/>
  <c r="D23" i="7"/>
  <c r="D24" i="7"/>
  <c r="D25" i="7"/>
  <c r="D26" i="7"/>
  <c r="D27" i="7"/>
  <c r="D28" i="7"/>
  <c r="D29" i="7"/>
  <c r="D30" i="7"/>
  <c r="D31" i="7"/>
  <c r="D32" i="7"/>
  <c r="D33" i="7"/>
  <c r="D34" i="7"/>
  <c r="D35" i="7"/>
  <c r="D36" i="7"/>
  <c r="D37" i="7"/>
  <c r="D5" i="7"/>
  <c r="S313" i="6"/>
  <c r="S312" i="6"/>
  <c r="S310" i="6"/>
  <c r="S309" i="6"/>
  <c r="S307" i="6"/>
  <c r="S306" i="6"/>
  <c r="S305" i="6"/>
  <c r="S304" i="6"/>
  <c r="S302" i="6"/>
  <c r="S301" i="6"/>
  <c r="S300" i="6"/>
  <c r="S299" i="6"/>
  <c r="S297" i="6"/>
  <c r="S296" i="6"/>
  <c r="S295" i="6"/>
  <c r="S294" i="6"/>
  <c r="S292" i="6"/>
  <c r="S291" i="6"/>
  <c r="S289" i="6"/>
  <c r="S287" i="6"/>
  <c r="S286" i="6"/>
  <c r="S285" i="6"/>
  <c r="S283" i="6"/>
  <c r="S282" i="6"/>
  <c r="S281" i="6"/>
  <c r="S280" i="6"/>
  <c r="S279" i="6"/>
  <c r="S277" i="6"/>
  <c r="S275" i="6"/>
  <c r="S274" i="6"/>
  <c r="S273" i="6"/>
  <c r="S272" i="6"/>
  <c r="S270" i="6"/>
  <c r="S269" i="6"/>
  <c r="S268" i="6"/>
  <c r="H313" i="6"/>
  <c r="G313" i="6"/>
  <c r="H312" i="6"/>
  <c r="G312" i="6"/>
  <c r="H310" i="6"/>
  <c r="G310" i="6"/>
  <c r="H309" i="6"/>
  <c r="G309" i="6"/>
  <c r="H307" i="6"/>
  <c r="G307" i="6"/>
  <c r="H306" i="6"/>
  <c r="G306" i="6"/>
  <c r="H305" i="6"/>
  <c r="G305" i="6"/>
  <c r="H304" i="6"/>
  <c r="G304" i="6"/>
  <c r="H302" i="6"/>
  <c r="G302" i="6"/>
  <c r="H301" i="6"/>
  <c r="G301" i="6"/>
  <c r="H300" i="6"/>
  <c r="G300" i="6"/>
  <c r="H299" i="6"/>
  <c r="G299" i="6"/>
  <c r="H297" i="6"/>
  <c r="G297" i="6"/>
  <c r="H296" i="6"/>
  <c r="G296" i="6"/>
  <c r="H295" i="6"/>
  <c r="G295" i="6"/>
  <c r="H294" i="6"/>
  <c r="G294" i="6"/>
  <c r="H292" i="6"/>
  <c r="G292" i="6"/>
  <c r="H291" i="6"/>
  <c r="G291" i="6"/>
  <c r="H289" i="6"/>
  <c r="G289" i="6"/>
  <c r="H287" i="6"/>
  <c r="G287" i="6"/>
  <c r="H286" i="6"/>
  <c r="G286" i="6"/>
  <c r="H285" i="6"/>
  <c r="G285" i="6"/>
  <c r="H283" i="6"/>
  <c r="G283" i="6"/>
  <c r="H282" i="6"/>
  <c r="G282" i="6"/>
  <c r="H281" i="6"/>
  <c r="G281" i="6"/>
  <c r="H280" i="6"/>
  <c r="G280" i="6"/>
  <c r="H279" i="6"/>
  <c r="G279" i="6"/>
  <c r="H277" i="6"/>
  <c r="G277" i="6"/>
  <c r="H275" i="6"/>
  <c r="G275" i="6"/>
  <c r="H274" i="6"/>
  <c r="G274" i="6"/>
  <c r="H273" i="6"/>
  <c r="G273" i="6"/>
  <c r="H272" i="6"/>
  <c r="G272" i="6"/>
  <c r="H270" i="6"/>
  <c r="G270" i="6"/>
  <c r="H269" i="6"/>
  <c r="G269" i="6"/>
  <c r="H268" i="6"/>
  <c r="G268" i="6"/>
  <c r="AM7" i="3"/>
  <c r="AN7" i="3"/>
  <c r="AO7" i="3"/>
  <c r="AP7" i="3"/>
  <c r="AQ7" i="3"/>
  <c r="AR7" i="3"/>
  <c r="AS7" i="3"/>
  <c r="AT7" i="3"/>
  <c r="AU7" i="3"/>
  <c r="AV7" i="3"/>
  <c r="AW7" i="3"/>
  <c r="AX7" i="3"/>
  <c r="AY7" i="3"/>
  <c r="AZ7" i="3"/>
  <c r="BA7" i="3"/>
  <c r="BB7" i="3"/>
  <c r="BC7" i="3"/>
  <c r="BD7" i="3"/>
  <c r="BE7" i="3"/>
  <c r="BF7" i="3"/>
  <c r="BG7" i="3"/>
  <c r="BH7" i="3"/>
  <c r="BI7" i="3"/>
  <c r="BJ7" i="3"/>
  <c r="BK7" i="3"/>
  <c r="BL7" i="3"/>
  <c r="BM7" i="3"/>
  <c r="BN7" i="3"/>
  <c r="BO7" i="3"/>
  <c r="BP7" i="3"/>
  <c r="BQ7" i="3"/>
  <c r="BR7" i="3"/>
  <c r="BS7" i="3"/>
  <c r="BT7" i="3"/>
  <c r="BU7" i="3"/>
  <c r="AM8" i="3"/>
  <c r="AN8" i="3"/>
  <c r="AO8" i="3"/>
  <c r="AP8" i="3"/>
  <c r="AQ8" i="3"/>
  <c r="AR8" i="3"/>
  <c r="AS8" i="3"/>
  <c r="AT8" i="3"/>
  <c r="AU8" i="3"/>
  <c r="AV8" i="3"/>
  <c r="AW8" i="3"/>
  <c r="AX8" i="3"/>
  <c r="AY8" i="3"/>
  <c r="AZ8" i="3"/>
  <c r="BA8" i="3"/>
  <c r="BB8" i="3"/>
  <c r="BC8" i="3"/>
  <c r="BD8" i="3"/>
  <c r="BE8" i="3"/>
  <c r="BF8" i="3"/>
  <c r="BG8" i="3"/>
  <c r="BH8" i="3"/>
  <c r="BI8" i="3"/>
  <c r="BJ8" i="3"/>
  <c r="BK8" i="3"/>
  <c r="BL8" i="3"/>
  <c r="BM8" i="3"/>
  <c r="BN8" i="3"/>
  <c r="BO8" i="3"/>
  <c r="BP8" i="3"/>
  <c r="BQ8" i="3"/>
  <c r="BR8" i="3"/>
  <c r="BS8" i="3"/>
  <c r="BT8" i="3"/>
  <c r="BU8" i="3"/>
  <c r="AM9" i="3"/>
  <c r="AN9" i="3"/>
  <c r="AO9" i="3"/>
  <c r="AP9" i="3"/>
  <c r="AQ9" i="3"/>
  <c r="AR9" i="3"/>
  <c r="AS9" i="3"/>
  <c r="AT9" i="3"/>
  <c r="AU9" i="3"/>
  <c r="AV9" i="3"/>
  <c r="AW9" i="3"/>
  <c r="AX9" i="3"/>
  <c r="AY9" i="3"/>
  <c r="AZ9" i="3"/>
  <c r="BA9" i="3"/>
  <c r="BB9" i="3"/>
  <c r="BC9" i="3"/>
  <c r="BD9" i="3"/>
  <c r="BE9" i="3"/>
  <c r="BF9" i="3"/>
  <c r="BG9" i="3"/>
  <c r="BH9" i="3"/>
  <c r="BI9" i="3"/>
  <c r="BJ9" i="3"/>
  <c r="BK9" i="3"/>
  <c r="BL9" i="3"/>
  <c r="BM9" i="3"/>
  <c r="BN9" i="3"/>
  <c r="BO9" i="3"/>
  <c r="BP9" i="3"/>
  <c r="BQ9" i="3"/>
  <c r="BR9" i="3"/>
  <c r="BS9" i="3"/>
  <c r="BT9" i="3"/>
  <c r="BU9" i="3"/>
  <c r="AM10" i="3"/>
  <c r="AN10" i="3"/>
  <c r="AO10" i="3"/>
  <c r="AP10" i="3"/>
  <c r="AQ10" i="3"/>
  <c r="AR10" i="3"/>
  <c r="AS10" i="3"/>
  <c r="AT10" i="3"/>
  <c r="AU10" i="3"/>
  <c r="AV10" i="3"/>
  <c r="AW10" i="3"/>
  <c r="AX10" i="3"/>
  <c r="AY10" i="3"/>
  <c r="AZ10" i="3"/>
  <c r="BA10" i="3"/>
  <c r="BB10" i="3"/>
  <c r="BC10" i="3"/>
  <c r="BD10" i="3"/>
  <c r="BE10" i="3"/>
  <c r="BF10" i="3"/>
  <c r="BG10" i="3"/>
  <c r="BH10" i="3"/>
  <c r="BI10" i="3"/>
  <c r="BJ10" i="3"/>
  <c r="BK10" i="3"/>
  <c r="BL10" i="3"/>
  <c r="BM10" i="3"/>
  <c r="BN10" i="3"/>
  <c r="BO10" i="3"/>
  <c r="BP10" i="3"/>
  <c r="BQ10" i="3"/>
  <c r="BR10" i="3"/>
  <c r="BS10" i="3"/>
  <c r="BT10" i="3"/>
  <c r="BU10" i="3"/>
  <c r="AM11" i="3"/>
  <c r="AN11" i="3"/>
  <c r="AO11" i="3"/>
  <c r="AP11" i="3"/>
  <c r="AQ11" i="3"/>
  <c r="AR11" i="3"/>
  <c r="AS11" i="3"/>
  <c r="AT11" i="3"/>
  <c r="AU11" i="3"/>
  <c r="AV11" i="3"/>
  <c r="AW11" i="3"/>
  <c r="AX11" i="3"/>
  <c r="AY11" i="3"/>
  <c r="AZ11" i="3"/>
  <c r="BA11" i="3"/>
  <c r="BB11" i="3"/>
  <c r="BC11" i="3"/>
  <c r="BD11" i="3"/>
  <c r="BE11" i="3"/>
  <c r="BF11" i="3"/>
  <c r="BG11" i="3"/>
  <c r="BH11" i="3"/>
  <c r="BI11" i="3"/>
  <c r="BJ11" i="3"/>
  <c r="BK11" i="3"/>
  <c r="BL11" i="3"/>
  <c r="BM11" i="3"/>
  <c r="BN11" i="3"/>
  <c r="BO11" i="3"/>
  <c r="BP11" i="3"/>
  <c r="BQ11" i="3"/>
  <c r="BR11" i="3"/>
  <c r="BS11" i="3"/>
  <c r="BT11" i="3"/>
  <c r="BU11" i="3"/>
  <c r="AM12" i="3"/>
  <c r="AN12" i="3"/>
  <c r="AO12" i="3"/>
  <c r="AP12" i="3"/>
  <c r="AQ12" i="3"/>
  <c r="AR12" i="3"/>
  <c r="AS12" i="3"/>
  <c r="AT12" i="3"/>
  <c r="AU12" i="3"/>
  <c r="AV12" i="3"/>
  <c r="AW12" i="3"/>
  <c r="AX12" i="3"/>
  <c r="AY12" i="3"/>
  <c r="AZ12" i="3"/>
  <c r="BA12" i="3"/>
  <c r="BB12" i="3"/>
  <c r="BC12" i="3"/>
  <c r="BD12" i="3"/>
  <c r="BE12" i="3"/>
  <c r="BF12" i="3"/>
  <c r="BG12" i="3"/>
  <c r="BH12" i="3"/>
  <c r="BI12" i="3"/>
  <c r="BJ12" i="3"/>
  <c r="BK12" i="3"/>
  <c r="BL12" i="3"/>
  <c r="BM12" i="3"/>
  <c r="BN12" i="3"/>
  <c r="BO12" i="3"/>
  <c r="BP12" i="3"/>
  <c r="BQ12" i="3"/>
  <c r="BR12" i="3"/>
  <c r="BS12" i="3"/>
  <c r="BT12" i="3"/>
  <c r="BU12" i="3"/>
  <c r="AM13" i="3"/>
  <c r="AN13" i="3"/>
  <c r="AO13" i="3"/>
  <c r="AP13" i="3"/>
  <c r="AQ13" i="3"/>
  <c r="AR13" i="3"/>
  <c r="AS13" i="3"/>
  <c r="AT13" i="3"/>
  <c r="AU13" i="3"/>
  <c r="AV13" i="3"/>
  <c r="AW13" i="3"/>
  <c r="AX13" i="3"/>
  <c r="AY13" i="3"/>
  <c r="AZ13" i="3"/>
  <c r="BA13" i="3"/>
  <c r="BB13" i="3"/>
  <c r="BC13" i="3"/>
  <c r="BD13" i="3"/>
  <c r="BE13" i="3"/>
  <c r="BF13" i="3"/>
  <c r="BG13" i="3"/>
  <c r="BH13" i="3"/>
  <c r="BI13" i="3"/>
  <c r="BJ13" i="3"/>
  <c r="BK13" i="3"/>
  <c r="BL13" i="3"/>
  <c r="BM13" i="3"/>
  <c r="BN13" i="3"/>
  <c r="BO13" i="3"/>
  <c r="BP13" i="3"/>
  <c r="BQ13" i="3"/>
  <c r="BR13" i="3"/>
  <c r="BS13" i="3"/>
  <c r="BT13" i="3"/>
  <c r="BU13" i="3"/>
  <c r="AM14" i="3"/>
  <c r="AN14" i="3"/>
  <c r="AO14" i="3"/>
  <c r="AP14" i="3"/>
  <c r="AQ14" i="3"/>
  <c r="AR14" i="3"/>
  <c r="AS14" i="3"/>
  <c r="AT14" i="3"/>
  <c r="AU14" i="3"/>
  <c r="AV14" i="3"/>
  <c r="AW14" i="3"/>
  <c r="AX14" i="3"/>
  <c r="AY14" i="3"/>
  <c r="AZ14" i="3"/>
  <c r="BA14" i="3"/>
  <c r="BB14" i="3"/>
  <c r="BC14" i="3"/>
  <c r="BD14" i="3"/>
  <c r="BE14" i="3"/>
  <c r="BF14" i="3"/>
  <c r="BG14" i="3"/>
  <c r="BH14" i="3"/>
  <c r="BI14" i="3"/>
  <c r="BJ14" i="3"/>
  <c r="BK14" i="3"/>
  <c r="BL14" i="3"/>
  <c r="BM14" i="3"/>
  <c r="BN14" i="3"/>
  <c r="BO14" i="3"/>
  <c r="BP14" i="3"/>
  <c r="BQ14" i="3"/>
  <c r="BR14" i="3"/>
  <c r="BS14" i="3"/>
  <c r="BT14" i="3"/>
  <c r="BU14" i="3"/>
  <c r="AM15" i="3"/>
  <c r="AN15" i="3"/>
  <c r="AO15" i="3"/>
  <c r="AP15" i="3"/>
  <c r="AQ15" i="3"/>
  <c r="AR15" i="3"/>
  <c r="AS15" i="3"/>
  <c r="AT15" i="3"/>
  <c r="AU15" i="3"/>
  <c r="AV15" i="3"/>
  <c r="AW15" i="3"/>
  <c r="AX15" i="3"/>
  <c r="AY15" i="3"/>
  <c r="AZ15" i="3"/>
  <c r="BA15" i="3"/>
  <c r="BB15" i="3"/>
  <c r="BC15" i="3"/>
  <c r="BD15" i="3"/>
  <c r="BE15" i="3"/>
  <c r="BF15" i="3"/>
  <c r="BG15" i="3"/>
  <c r="BH15" i="3"/>
  <c r="BI15" i="3"/>
  <c r="BJ15" i="3"/>
  <c r="BK15" i="3"/>
  <c r="BL15" i="3"/>
  <c r="BM15" i="3"/>
  <c r="BN15" i="3"/>
  <c r="BO15" i="3"/>
  <c r="BP15" i="3"/>
  <c r="BQ15" i="3"/>
  <c r="BR15" i="3"/>
  <c r="BS15" i="3"/>
  <c r="BT15" i="3"/>
  <c r="BU15" i="3"/>
  <c r="AM16" i="3"/>
  <c r="AN16" i="3"/>
  <c r="AO16" i="3"/>
  <c r="AP16" i="3"/>
  <c r="AQ16" i="3"/>
  <c r="AR16" i="3"/>
  <c r="AS16" i="3"/>
  <c r="AT16" i="3"/>
  <c r="AU16" i="3"/>
  <c r="AV16" i="3"/>
  <c r="AW16" i="3"/>
  <c r="AX16" i="3"/>
  <c r="AY16" i="3"/>
  <c r="AZ16" i="3"/>
  <c r="BA16" i="3"/>
  <c r="BB16" i="3"/>
  <c r="BC16" i="3"/>
  <c r="BD16" i="3"/>
  <c r="BE16" i="3"/>
  <c r="BF16" i="3"/>
  <c r="BG16" i="3"/>
  <c r="BH16" i="3"/>
  <c r="BI16" i="3"/>
  <c r="BJ16" i="3"/>
  <c r="BK16" i="3"/>
  <c r="BL16" i="3"/>
  <c r="BM16" i="3"/>
  <c r="BN16" i="3"/>
  <c r="BO16" i="3"/>
  <c r="BP16" i="3"/>
  <c r="BQ16" i="3"/>
  <c r="BR16" i="3"/>
  <c r="BS16" i="3"/>
  <c r="BT16" i="3"/>
  <c r="BU16" i="3"/>
  <c r="AM17" i="3"/>
  <c r="AN17" i="3"/>
  <c r="AO17" i="3"/>
  <c r="AP17" i="3"/>
  <c r="AQ17" i="3"/>
  <c r="AR17" i="3"/>
  <c r="AS17" i="3"/>
  <c r="AT17" i="3"/>
  <c r="AU17" i="3"/>
  <c r="AV17" i="3"/>
  <c r="AW17" i="3"/>
  <c r="AX17" i="3"/>
  <c r="AY17" i="3"/>
  <c r="AZ17" i="3"/>
  <c r="BA17" i="3"/>
  <c r="BB17" i="3"/>
  <c r="BC17" i="3"/>
  <c r="BD17" i="3"/>
  <c r="BE17" i="3"/>
  <c r="BF17" i="3"/>
  <c r="BG17" i="3"/>
  <c r="BH17" i="3"/>
  <c r="BI17" i="3"/>
  <c r="BJ17" i="3"/>
  <c r="BK17" i="3"/>
  <c r="BL17" i="3"/>
  <c r="BM17" i="3"/>
  <c r="BN17" i="3"/>
  <c r="BO17" i="3"/>
  <c r="BP17" i="3"/>
  <c r="BQ17" i="3"/>
  <c r="BR17" i="3"/>
  <c r="BS17" i="3"/>
  <c r="BT17" i="3"/>
  <c r="BU17" i="3"/>
  <c r="AM18" i="3"/>
  <c r="AN18" i="3"/>
  <c r="AO18" i="3"/>
  <c r="AP18" i="3"/>
  <c r="AQ18" i="3"/>
  <c r="AR18" i="3"/>
  <c r="AS18" i="3"/>
  <c r="AT18" i="3"/>
  <c r="AU18" i="3"/>
  <c r="AV18" i="3"/>
  <c r="AW18" i="3"/>
  <c r="AX18" i="3"/>
  <c r="AY18" i="3"/>
  <c r="AZ18" i="3"/>
  <c r="BA18" i="3"/>
  <c r="BB18" i="3"/>
  <c r="BC18" i="3"/>
  <c r="BD18" i="3"/>
  <c r="BE18" i="3"/>
  <c r="BF18" i="3"/>
  <c r="BG18" i="3"/>
  <c r="BH18" i="3"/>
  <c r="BI18" i="3"/>
  <c r="BJ18" i="3"/>
  <c r="BK18" i="3"/>
  <c r="BL18" i="3"/>
  <c r="BM18" i="3"/>
  <c r="BN18" i="3"/>
  <c r="BO18" i="3"/>
  <c r="BP18" i="3"/>
  <c r="BQ18" i="3"/>
  <c r="BR18" i="3"/>
  <c r="BS18" i="3"/>
  <c r="BT18" i="3"/>
  <c r="BU18" i="3"/>
  <c r="AM19" i="3"/>
  <c r="AN19" i="3"/>
  <c r="AO19" i="3"/>
  <c r="AP19" i="3"/>
  <c r="AQ19" i="3"/>
  <c r="AR19" i="3"/>
  <c r="AS19" i="3"/>
  <c r="AT19" i="3"/>
  <c r="AU19" i="3"/>
  <c r="AV19" i="3"/>
  <c r="AW19" i="3"/>
  <c r="AX19" i="3"/>
  <c r="AY19" i="3"/>
  <c r="AZ19" i="3"/>
  <c r="BA19" i="3"/>
  <c r="BB19" i="3"/>
  <c r="BC19" i="3"/>
  <c r="BD19" i="3"/>
  <c r="BE19" i="3"/>
  <c r="BF19" i="3"/>
  <c r="BG19" i="3"/>
  <c r="BH19" i="3"/>
  <c r="BI19" i="3"/>
  <c r="BJ19" i="3"/>
  <c r="BK19" i="3"/>
  <c r="BL19" i="3"/>
  <c r="BM19" i="3"/>
  <c r="BN19" i="3"/>
  <c r="BO19" i="3"/>
  <c r="BP19" i="3"/>
  <c r="BQ19" i="3"/>
  <c r="BR19" i="3"/>
  <c r="BS19" i="3"/>
  <c r="BT19" i="3"/>
  <c r="BU19" i="3"/>
  <c r="AM20" i="3"/>
  <c r="AN20" i="3"/>
  <c r="AO20" i="3"/>
  <c r="AP20" i="3"/>
  <c r="AQ20" i="3"/>
  <c r="AR20" i="3"/>
  <c r="AS20" i="3"/>
  <c r="AT20" i="3"/>
  <c r="AU20" i="3"/>
  <c r="AV20" i="3"/>
  <c r="AW20" i="3"/>
  <c r="AX20" i="3"/>
  <c r="AY20" i="3"/>
  <c r="AZ20" i="3"/>
  <c r="BA20" i="3"/>
  <c r="BB20" i="3"/>
  <c r="BC20" i="3"/>
  <c r="BD20" i="3"/>
  <c r="BE20" i="3"/>
  <c r="BF20" i="3"/>
  <c r="BG20" i="3"/>
  <c r="BH20" i="3"/>
  <c r="BI20" i="3"/>
  <c r="BJ20" i="3"/>
  <c r="BK20" i="3"/>
  <c r="BL20" i="3"/>
  <c r="BM20" i="3"/>
  <c r="BN20" i="3"/>
  <c r="BO20" i="3"/>
  <c r="BP20" i="3"/>
  <c r="BQ20" i="3"/>
  <c r="BR20" i="3"/>
  <c r="BS20" i="3"/>
  <c r="BT20" i="3"/>
  <c r="BU20" i="3"/>
  <c r="AM21" i="3"/>
  <c r="AN21" i="3"/>
  <c r="AO21" i="3"/>
  <c r="AP21" i="3"/>
  <c r="AQ21" i="3"/>
  <c r="AR21" i="3"/>
  <c r="AS21" i="3"/>
  <c r="AT21" i="3"/>
  <c r="AU21" i="3"/>
  <c r="AV21" i="3"/>
  <c r="AW21" i="3"/>
  <c r="AX21" i="3"/>
  <c r="AY21" i="3"/>
  <c r="AZ21" i="3"/>
  <c r="BA21" i="3"/>
  <c r="BB21" i="3"/>
  <c r="BC21" i="3"/>
  <c r="BD21" i="3"/>
  <c r="BE21" i="3"/>
  <c r="BF21" i="3"/>
  <c r="BG21" i="3"/>
  <c r="BH21" i="3"/>
  <c r="BI21" i="3"/>
  <c r="BJ21" i="3"/>
  <c r="BK21" i="3"/>
  <c r="BL21" i="3"/>
  <c r="BM21" i="3"/>
  <c r="BN21" i="3"/>
  <c r="BO21" i="3"/>
  <c r="BP21" i="3"/>
  <c r="BQ21" i="3"/>
  <c r="BR21" i="3"/>
  <c r="BS21" i="3"/>
  <c r="BT21" i="3"/>
  <c r="BU21" i="3"/>
  <c r="AM22" i="3"/>
  <c r="AN22" i="3"/>
  <c r="AO22" i="3"/>
  <c r="AP22" i="3"/>
  <c r="AQ22" i="3"/>
  <c r="AR22" i="3"/>
  <c r="AS22" i="3"/>
  <c r="AT22" i="3"/>
  <c r="AU22" i="3"/>
  <c r="AV22" i="3"/>
  <c r="AW22" i="3"/>
  <c r="AX22" i="3"/>
  <c r="AY22" i="3"/>
  <c r="AZ22" i="3"/>
  <c r="BA22" i="3"/>
  <c r="BB22" i="3"/>
  <c r="BC22" i="3"/>
  <c r="BD22" i="3"/>
  <c r="BE22" i="3"/>
  <c r="BF22" i="3"/>
  <c r="BG22" i="3"/>
  <c r="BH22" i="3"/>
  <c r="BI22" i="3"/>
  <c r="BJ22" i="3"/>
  <c r="BK22" i="3"/>
  <c r="BL22" i="3"/>
  <c r="BM22" i="3"/>
  <c r="BN22" i="3"/>
  <c r="BO22" i="3"/>
  <c r="BP22" i="3"/>
  <c r="BQ22" i="3"/>
  <c r="BR22" i="3"/>
  <c r="BS22" i="3"/>
  <c r="BT22" i="3"/>
  <c r="BU22" i="3"/>
  <c r="AM23" i="3"/>
  <c r="AN23" i="3"/>
  <c r="AO23" i="3"/>
  <c r="AP23" i="3"/>
  <c r="AQ23" i="3"/>
  <c r="AR23" i="3"/>
  <c r="AS23" i="3"/>
  <c r="AT23" i="3"/>
  <c r="AU23" i="3"/>
  <c r="AV23" i="3"/>
  <c r="AW23" i="3"/>
  <c r="AX23" i="3"/>
  <c r="AY23" i="3"/>
  <c r="AZ23" i="3"/>
  <c r="BA23" i="3"/>
  <c r="BB23" i="3"/>
  <c r="BC23" i="3"/>
  <c r="BD23" i="3"/>
  <c r="BE23" i="3"/>
  <c r="BF23" i="3"/>
  <c r="BG23" i="3"/>
  <c r="BH23" i="3"/>
  <c r="BI23" i="3"/>
  <c r="BJ23" i="3"/>
  <c r="BK23" i="3"/>
  <c r="BL23" i="3"/>
  <c r="BM23" i="3"/>
  <c r="BN23" i="3"/>
  <c r="BO23" i="3"/>
  <c r="BP23" i="3"/>
  <c r="BQ23" i="3"/>
  <c r="BR23" i="3"/>
  <c r="BS23" i="3"/>
  <c r="BT23" i="3"/>
  <c r="BU23" i="3"/>
  <c r="AM24" i="3"/>
  <c r="AN24" i="3"/>
  <c r="AO24" i="3"/>
  <c r="AP24" i="3"/>
  <c r="AQ24" i="3"/>
  <c r="AR24" i="3"/>
  <c r="AS24" i="3"/>
  <c r="AT24" i="3"/>
  <c r="AU24" i="3"/>
  <c r="AV24" i="3"/>
  <c r="AW24" i="3"/>
  <c r="AX24" i="3"/>
  <c r="AY24" i="3"/>
  <c r="AZ24" i="3"/>
  <c r="BA24" i="3"/>
  <c r="BB24" i="3"/>
  <c r="BC24" i="3"/>
  <c r="BD24" i="3"/>
  <c r="BE24" i="3"/>
  <c r="BF24" i="3"/>
  <c r="BG24" i="3"/>
  <c r="BH24" i="3"/>
  <c r="BI24" i="3"/>
  <c r="BJ24" i="3"/>
  <c r="BK24" i="3"/>
  <c r="BL24" i="3"/>
  <c r="BM24" i="3"/>
  <c r="BN24" i="3"/>
  <c r="BO24" i="3"/>
  <c r="BP24" i="3"/>
  <c r="BQ24" i="3"/>
  <c r="BR24" i="3"/>
  <c r="BS24" i="3"/>
  <c r="BT24" i="3"/>
  <c r="BU24" i="3"/>
  <c r="AM25" i="3"/>
  <c r="AN25" i="3"/>
  <c r="AO25" i="3"/>
  <c r="AP25" i="3"/>
  <c r="AQ25" i="3"/>
  <c r="AR25" i="3"/>
  <c r="AS25" i="3"/>
  <c r="AT25" i="3"/>
  <c r="AU25" i="3"/>
  <c r="AV25" i="3"/>
  <c r="AW25" i="3"/>
  <c r="AX25" i="3"/>
  <c r="AY25" i="3"/>
  <c r="AZ25" i="3"/>
  <c r="BA25" i="3"/>
  <c r="BB25" i="3"/>
  <c r="BC25" i="3"/>
  <c r="BD25" i="3"/>
  <c r="BE25" i="3"/>
  <c r="BF25" i="3"/>
  <c r="BG25" i="3"/>
  <c r="BH25" i="3"/>
  <c r="BI25" i="3"/>
  <c r="BJ25" i="3"/>
  <c r="BK25" i="3"/>
  <c r="BL25" i="3"/>
  <c r="BM25" i="3"/>
  <c r="BN25" i="3"/>
  <c r="BO25" i="3"/>
  <c r="BP25" i="3"/>
  <c r="BQ25" i="3"/>
  <c r="BR25" i="3"/>
  <c r="BS25" i="3"/>
  <c r="BT25" i="3"/>
  <c r="BU25" i="3"/>
  <c r="AM26" i="3"/>
  <c r="AN26" i="3"/>
  <c r="AO26" i="3"/>
  <c r="AP26" i="3"/>
  <c r="AQ26" i="3"/>
  <c r="AR26" i="3"/>
  <c r="AS26" i="3"/>
  <c r="AT26" i="3"/>
  <c r="AU26" i="3"/>
  <c r="AV26" i="3"/>
  <c r="AW26" i="3"/>
  <c r="AX26" i="3"/>
  <c r="AY26" i="3"/>
  <c r="AZ26" i="3"/>
  <c r="BA26" i="3"/>
  <c r="BB26" i="3"/>
  <c r="BC26" i="3"/>
  <c r="BD26" i="3"/>
  <c r="BE26" i="3"/>
  <c r="BF26" i="3"/>
  <c r="BG26" i="3"/>
  <c r="BH26" i="3"/>
  <c r="BI26" i="3"/>
  <c r="BJ26" i="3"/>
  <c r="BK26" i="3"/>
  <c r="BL26" i="3"/>
  <c r="BM26" i="3"/>
  <c r="BN26" i="3"/>
  <c r="BO26" i="3"/>
  <c r="BP26" i="3"/>
  <c r="BQ26" i="3"/>
  <c r="BR26" i="3"/>
  <c r="BS26" i="3"/>
  <c r="BT26" i="3"/>
  <c r="BU26" i="3"/>
  <c r="AM27" i="3"/>
  <c r="AN27" i="3"/>
  <c r="AO27" i="3"/>
  <c r="AP27" i="3"/>
  <c r="AQ27" i="3"/>
  <c r="AR27" i="3"/>
  <c r="AS27" i="3"/>
  <c r="AT27" i="3"/>
  <c r="AU27" i="3"/>
  <c r="AV27" i="3"/>
  <c r="AW27" i="3"/>
  <c r="AX27" i="3"/>
  <c r="AY27" i="3"/>
  <c r="AZ27" i="3"/>
  <c r="BA27" i="3"/>
  <c r="BB27" i="3"/>
  <c r="BC27" i="3"/>
  <c r="BD27" i="3"/>
  <c r="BE27" i="3"/>
  <c r="BF27" i="3"/>
  <c r="BG27" i="3"/>
  <c r="BH27" i="3"/>
  <c r="BI27" i="3"/>
  <c r="BJ27" i="3"/>
  <c r="BK27" i="3"/>
  <c r="BL27" i="3"/>
  <c r="BM27" i="3"/>
  <c r="BN27" i="3"/>
  <c r="BO27" i="3"/>
  <c r="BP27" i="3"/>
  <c r="BQ27" i="3"/>
  <c r="BR27" i="3"/>
  <c r="BS27" i="3"/>
  <c r="BT27" i="3"/>
  <c r="BU27" i="3"/>
  <c r="AM28" i="3"/>
  <c r="AN28" i="3"/>
  <c r="AO28" i="3"/>
  <c r="AP28" i="3"/>
  <c r="AQ28" i="3"/>
  <c r="AR28" i="3"/>
  <c r="AS28" i="3"/>
  <c r="AT28" i="3"/>
  <c r="AU28" i="3"/>
  <c r="AV28" i="3"/>
  <c r="AW28" i="3"/>
  <c r="AX28" i="3"/>
  <c r="AY28" i="3"/>
  <c r="AZ28" i="3"/>
  <c r="BA28" i="3"/>
  <c r="BB28" i="3"/>
  <c r="BC28" i="3"/>
  <c r="BD28" i="3"/>
  <c r="BE28" i="3"/>
  <c r="BF28" i="3"/>
  <c r="BG28" i="3"/>
  <c r="BH28" i="3"/>
  <c r="BI28" i="3"/>
  <c r="BJ28" i="3"/>
  <c r="BK28" i="3"/>
  <c r="BL28" i="3"/>
  <c r="BM28" i="3"/>
  <c r="BN28" i="3"/>
  <c r="BO28" i="3"/>
  <c r="BP28" i="3"/>
  <c r="BQ28" i="3"/>
  <c r="BR28" i="3"/>
  <c r="BS28" i="3"/>
  <c r="BT28" i="3"/>
  <c r="BU28" i="3"/>
  <c r="AM29" i="3"/>
  <c r="AN29" i="3"/>
  <c r="AO29" i="3"/>
  <c r="AP29" i="3"/>
  <c r="AQ29" i="3"/>
  <c r="AR29" i="3"/>
  <c r="AS29" i="3"/>
  <c r="AT29" i="3"/>
  <c r="AU29" i="3"/>
  <c r="AV29" i="3"/>
  <c r="AW29" i="3"/>
  <c r="AX29" i="3"/>
  <c r="AY29" i="3"/>
  <c r="AZ29" i="3"/>
  <c r="BA29" i="3"/>
  <c r="BB29" i="3"/>
  <c r="BC29" i="3"/>
  <c r="BD29" i="3"/>
  <c r="BE29" i="3"/>
  <c r="BF29" i="3"/>
  <c r="BG29" i="3"/>
  <c r="BH29" i="3"/>
  <c r="BI29" i="3"/>
  <c r="BJ29" i="3"/>
  <c r="BK29" i="3"/>
  <c r="BL29" i="3"/>
  <c r="BM29" i="3"/>
  <c r="BN29" i="3"/>
  <c r="BO29" i="3"/>
  <c r="BP29" i="3"/>
  <c r="BQ29" i="3"/>
  <c r="BR29" i="3"/>
  <c r="BS29" i="3"/>
  <c r="BT29" i="3"/>
  <c r="BU29" i="3"/>
  <c r="AM30" i="3"/>
  <c r="AN30" i="3"/>
  <c r="AO30" i="3"/>
  <c r="AP30" i="3"/>
  <c r="AQ30" i="3"/>
  <c r="AR30" i="3"/>
  <c r="AS30" i="3"/>
  <c r="AT30" i="3"/>
  <c r="AU30" i="3"/>
  <c r="AV30" i="3"/>
  <c r="AW30" i="3"/>
  <c r="AX30" i="3"/>
  <c r="AY30" i="3"/>
  <c r="AZ30" i="3"/>
  <c r="BA30" i="3"/>
  <c r="BB30" i="3"/>
  <c r="BC30" i="3"/>
  <c r="BD30" i="3"/>
  <c r="BE30" i="3"/>
  <c r="BF30" i="3"/>
  <c r="BG30" i="3"/>
  <c r="BH30" i="3"/>
  <c r="BI30" i="3"/>
  <c r="BJ30" i="3"/>
  <c r="BK30" i="3"/>
  <c r="BL30" i="3"/>
  <c r="BM30" i="3"/>
  <c r="BN30" i="3"/>
  <c r="BO30" i="3"/>
  <c r="BP30" i="3"/>
  <c r="BQ30" i="3"/>
  <c r="BR30" i="3"/>
  <c r="BS30" i="3"/>
  <c r="BT30" i="3"/>
  <c r="BU30" i="3"/>
  <c r="AM31" i="3"/>
  <c r="AN31" i="3"/>
  <c r="AO31" i="3"/>
  <c r="AP31" i="3"/>
  <c r="AQ31" i="3"/>
  <c r="AR31" i="3"/>
  <c r="AS31" i="3"/>
  <c r="AT31" i="3"/>
  <c r="AU31" i="3"/>
  <c r="AV31" i="3"/>
  <c r="AW31" i="3"/>
  <c r="AX31" i="3"/>
  <c r="AY31" i="3"/>
  <c r="AZ31" i="3"/>
  <c r="BA31" i="3"/>
  <c r="BB31" i="3"/>
  <c r="BC31" i="3"/>
  <c r="BD31" i="3"/>
  <c r="BE31" i="3"/>
  <c r="BF31" i="3"/>
  <c r="BG31" i="3"/>
  <c r="BH31" i="3"/>
  <c r="BI31" i="3"/>
  <c r="BJ31" i="3"/>
  <c r="BK31" i="3"/>
  <c r="BL31" i="3"/>
  <c r="BM31" i="3"/>
  <c r="BN31" i="3"/>
  <c r="BO31" i="3"/>
  <c r="BP31" i="3"/>
  <c r="BQ31" i="3"/>
  <c r="BR31" i="3"/>
  <c r="BS31" i="3"/>
  <c r="BT31" i="3"/>
  <c r="BU31" i="3"/>
  <c r="AM32" i="3"/>
  <c r="AN32" i="3"/>
  <c r="AO32" i="3"/>
  <c r="AP32" i="3"/>
  <c r="AQ32" i="3"/>
  <c r="AR32" i="3"/>
  <c r="AS32" i="3"/>
  <c r="AT32" i="3"/>
  <c r="AU32" i="3"/>
  <c r="AV32" i="3"/>
  <c r="AW32" i="3"/>
  <c r="AX32" i="3"/>
  <c r="AY32" i="3"/>
  <c r="AZ32" i="3"/>
  <c r="BA32" i="3"/>
  <c r="BB32" i="3"/>
  <c r="BC32" i="3"/>
  <c r="BD32" i="3"/>
  <c r="BE32" i="3"/>
  <c r="BF32" i="3"/>
  <c r="BG32" i="3"/>
  <c r="BH32" i="3"/>
  <c r="BI32" i="3"/>
  <c r="BJ32" i="3"/>
  <c r="BK32" i="3"/>
  <c r="BL32" i="3"/>
  <c r="BM32" i="3"/>
  <c r="BN32" i="3"/>
  <c r="BO32" i="3"/>
  <c r="BP32" i="3"/>
  <c r="BQ32" i="3"/>
  <c r="BR32" i="3"/>
  <c r="BS32" i="3"/>
  <c r="BT32" i="3"/>
  <c r="BU32" i="3"/>
  <c r="AM33" i="3"/>
  <c r="AN33" i="3"/>
  <c r="AO33" i="3"/>
  <c r="AP33" i="3"/>
  <c r="AQ33" i="3"/>
  <c r="AR33" i="3"/>
  <c r="AS33" i="3"/>
  <c r="AT33" i="3"/>
  <c r="AU33" i="3"/>
  <c r="AV33" i="3"/>
  <c r="AW33" i="3"/>
  <c r="AX33" i="3"/>
  <c r="AY33" i="3"/>
  <c r="AZ33" i="3"/>
  <c r="BA33" i="3"/>
  <c r="BB33" i="3"/>
  <c r="BC33" i="3"/>
  <c r="BD33" i="3"/>
  <c r="BE33" i="3"/>
  <c r="BF33" i="3"/>
  <c r="BG33" i="3"/>
  <c r="BH33" i="3"/>
  <c r="BI33" i="3"/>
  <c r="BJ33" i="3"/>
  <c r="BK33" i="3"/>
  <c r="BL33" i="3"/>
  <c r="BM33" i="3"/>
  <c r="BN33" i="3"/>
  <c r="BO33" i="3"/>
  <c r="BP33" i="3"/>
  <c r="BQ33" i="3"/>
  <c r="BR33" i="3"/>
  <c r="BS33" i="3"/>
  <c r="BT33" i="3"/>
  <c r="BU33" i="3"/>
  <c r="AM34" i="3"/>
  <c r="AN34" i="3"/>
  <c r="AO34" i="3"/>
  <c r="AP34" i="3"/>
  <c r="AQ34" i="3"/>
  <c r="AR34" i="3"/>
  <c r="AS34" i="3"/>
  <c r="AT34" i="3"/>
  <c r="AU34" i="3"/>
  <c r="AV34" i="3"/>
  <c r="AW34" i="3"/>
  <c r="AX34" i="3"/>
  <c r="AY34" i="3"/>
  <c r="AZ34" i="3"/>
  <c r="BA34" i="3"/>
  <c r="BB34" i="3"/>
  <c r="BC34" i="3"/>
  <c r="BD34" i="3"/>
  <c r="BE34" i="3"/>
  <c r="BF34" i="3"/>
  <c r="BG34" i="3"/>
  <c r="BH34" i="3"/>
  <c r="BI34" i="3"/>
  <c r="BJ34" i="3"/>
  <c r="BK34" i="3"/>
  <c r="BL34" i="3"/>
  <c r="BM34" i="3"/>
  <c r="BN34" i="3"/>
  <c r="BO34" i="3"/>
  <c r="BP34" i="3"/>
  <c r="BQ34" i="3"/>
  <c r="BR34" i="3"/>
  <c r="BS34" i="3"/>
  <c r="BT34" i="3"/>
  <c r="BU34" i="3"/>
  <c r="AM35" i="3"/>
  <c r="AN35" i="3"/>
  <c r="AO35" i="3"/>
  <c r="AP35" i="3"/>
  <c r="AQ35" i="3"/>
  <c r="AR35" i="3"/>
  <c r="AS35" i="3"/>
  <c r="AT35" i="3"/>
  <c r="AU35" i="3"/>
  <c r="AV35" i="3"/>
  <c r="AW35" i="3"/>
  <c r="AX35" i="3"/>
  <c r="AY35" i="3"/>
  <c r="AZ35" i="3"/>
  <c r="BA35" i="3"/>
  <c r="BB35" i="3"/>
  <c r="BC35" i="3"/>
  <c r="BD35" i="3"/>
  <c r="BE35" i="3"/>
  <c r="BF35" i="3"/>
  <c r="BG35" i="3"/>
  <c r="BH35" i="3"/>
  <c r="BI35" i="3"/>
  <c r="BJ35" i="3"/>
  <c r="BK35" i="3"/>
  <c r="BL35" i="3"/>
  <c r="BM35" i="3"/>
  <c r="BN35" i="3"/>
  <c r="BO35" i="3"/>
  <c r="BP35" i="3"/>
  <c r="BQ35" i="3"/>
  <c r="BR35" i="3"/>
  <c r="BS35" i="3"/>
  <c r="BT35" i="3"/>
  <c r="BU35" i="3"/>
  <c r="AM36" i="3"/>
  <c r="AN36" i="3"/>
  <c r="AO36" i="3"/>
  <c r="AP36" i="3"/>
  <c r="AQ36" i="3"/>
  <c r="AR36" i="3"/>
  <c r="AS36" i="3"/>
  <c r="AT36" i="3"/>
  <c r="AU36" i="3"/>
  <c r="AV36" i="3"/>
  <c r="AW36" i="3"/>
  <c r="AX36" i="3"/>
  <c r="AY36" i="3"/>
  <c r="AZ36" i="3"/>
  <c r="BA36" i="3"/>
  <c r="BB36" i="3"/>
  <c r="BC36" i="3"/>
  <c r="BD36" i="3"/>
  <c r="BE36" i="3"/>
  <c r="BF36" i="3"/>
  <c r="BG36" i="3"/>
  <c r="BH36" i="3"/>
  <c r="BI36" i="3"/>
  <c r="BJ36" i="3"/>
  <c r="BK36" i="3"/>
  <c r="BL36" i="3"/>
  <c r="BM36" i="3"/>
  <c r="BN36" i="3"/>
  <c r="BO36" i="3"/>
  <c r="BP36" i="3"/>
  <c r="BQ36" i="3"/>
  <c r="BR36" i="3"/>
  <c r="BS36" i="3"/>
  <c r="BT36" i="3"/>
  <c r="BU36" i="3"/>
  <c r="AM37" i="3"/>
  <c r="AN37" i="3"/>
  <c r="AO37" i="3"/>
  <c r="AP37" i="3"/>
  <c r="AQ37" i="3"/>
  <c r="AR37" i="3"/>
  <c r="AS37" i="3"/>
  <c r="AT37" i="3"/>
  <c r="AU37" i="3"/>
  <c r="AV37" i="3"/>
  <c r="AW37" i="3"/>
  <c r="AX37" i="3"/>
  <c r="AY37" i="3"/>
  <c r="AZ37" i="3"/>
  <c r="BA37" i="3"/>
  <c r="BB37" i="3"/>
  <c r="BC37" i="3"/>
  <c r="BD37" i="3"/>
  <c r="BE37" i="3"/>
  <c r="BF37" i="3"/>
  <c r="BG37" i="3"/>
  <c r="BH37" i="3"/>
  <c r="BI37" i="3"/>
  <c r="BJ37" i="3"/>
  <c r="BK37" i="3"/>
  <c r="BL37" i="3"/>
  <c r="BM37" i="3"/>
  <c r="BN37" i="3"/>
  <c r="BO37" i="3"/>
  <c r="BP37" i="3"/>
  <c r="BQ37" i="3"/>
  <c r="BR37" i="3"/>
  <c r="BS37" i="3"/>
  <c r="BT37" i="3"/>
  <c r="BU37" i="3"/>
  <c r="AV6" i="3"/>
  <c r="AO6" i="3"/>
  <c r="AP6" i="3"/>
  <c r="AQ6" i="3"/>
  <c r="AR6" i="3"/>
  <c r="AS6" i="3"/>
  <c r="AT6" i="3"/>
  <c r="AU6" i="3"/>
  <c r="AW6" i="3"/>
  <c r="AX6" i="3"/>
  <c r="AY6" i="3"/>
  <c r="AZ6" i="3"/>
  <c r="BA6" i="3"/>
  <c r="BB6" i="3"/>
  <c r="BC6" i="3"/>
  <c r="BD6" i="3"/>
  <c r="BE6" i="3"/>
  <c r="BF6" i="3"/>
  <c r="BG6" i="3"/>
  <c r="BH6" i="3"/>
  <c r="BI6" i="3"/>
  <c r="BJ6" i="3"/>
  <c r="BK6" i="3"/>
  <c r="BL6" i="3"/>
  <c r="BM6" i="3"/>
  <c r="BN6" i="3"/>
  <c r="BO6" i="3"/>
  <c r="BP6" i="3"/>
  <c r="BQ6" i="3"/>
  <c r="BR6" i="3"/>
  <c r="BS6" i="3"/>
  <c r="BT6" i="3"/>
  <c r="BU6" i="3"/>
  <c r="AN6" i="3"/>
  <c r="AM6" i="3"/>
  <c r="Q212" i="6"/>
  <c r="Q229" i="6"/>
  <c r="E212" i="6"/>
  <c r="E229" i="6"/>
  <c r="U102" i="6" l="1"/>
  <c r="P102" i="6" s="1"/>
  <c r="I102" i="6"/>
  <c r="D102" i="6" s="1"/>
  <c r="S229" i="6"/>
  <c r="R229" i="6"/>
  <c r="T229" i="6" s="1"/>
  <c r="S228" i="6"/>
  <c r="R228" i="6"/>
  <c r="Q228" i="6"/>
  <c r="S227" i="6"/>
  <c r="R227" i="6"/>
  <c r="Q227" i="6"/>
  <c r="S226" i="6"/>
  <c r="R226" i="6"/>
  <c r="Q226" i="6"/>
  <c r="S225" i="6"/>
  <c r="R225" i="6"/>
  <c r="Q225" i="6"/>
  <c r="S224" i="6"/>
  <c r="R224" i="6"/>
  <c r="Q224" i="6"/>
  <c r="S223" i="6"/>
  <c r="R223" i="6"/>
  <c r="Q223" i="6"/>
  <c r="S222" i="6"/>
  <c r="R222" i="6"/>
  <c r="Q222" i="6"/>
  <c r="S221" i="6"/>
  <c r="R221" i="6"/>
  <c r="Q221" i="6"/>
  <c r="S220" i="6"/>
  <c r="R220" i="6"/>
  <c r="Q220" i="6"/>
  <c r="S219" i="6"/>
  <c r="R219" i="6"/>
  <c r="Q219" i="6"/>
  <c r="S218" i="6"/>
  <c r="R218" i="6"/>
  <c r="Q218" i="6"/>
  <c r="S217" i="6"/>
  <c r="R217" i="6"/>
  <c r="Q217" i="6"/>
  <c r="S216" i="6"/>
  <c r="R216" i="6"/>
  <c r="Q216" i="6"/>
  <c r="S215" i="6"/>
  <c r="R215" i="6"/>
  <c r="Q215" i="6"/>
  <c r="S214" i="6"/>
  <c r="R214" i="6"/>
  <c r="Q214" i="6"/>
  <c r="S212" i="6"/>
  <c r="R212" i="6"/>
  <c r="T212" i="6" s="1"/>
  <c r="O208" i="6"/>
  <c r="C208" i="6"/>
  <c r="G212" i="6"/>
  <c r="G229" i="6"/>
  <c r="G228" i="6"/>
  <c r="G227" i="6"/>
  <c r="G226" i="6"/>
  <c r="G225" i="6"/>
  <c r="G224" i="6"/>
  <c r="G223" i="6"/>
  <c r="G222" i="6"/>
  <c r="G221" i="6"/>
  <c r="G220" i="6"/>
  <c r="G219" i="6"/>
  <c r="G218" i="6"/>
  <c r="G217" i="6"/>
  <c r="G216" i="6"/>
  <c r="G215" i="6"/>
  <c r="G214" i="6"/>
  <c r="F212" i="6"/>
  <c r="F229" i="6"/>
  <c r="H229" i="6" s="1"/>
  <c r="F228" i="6"/>
  <c r="F227" i="6"/>
  <c r="F226" i="6"/>
  <c r="F225" i="6"/>
  <c r="F224" i="6"/>
  <c r="F223" i="6"/>
  <c r="F222" i="6"/>
  <c r="F221" i="6"/>
  <c r="F220" i="6"/>
  <c r="F219" i="6"/>
  <c r="F218" i="6"/>
  <c r="F217" i="6"/>
  <c r="F216" i="6"/>
  <c r="F215" i="6"/>
  <c r="F214" i="6"/>
  <c r="E228" i="6"/>
  <c r="E227" i="6"/>
  <c r="E226" i="6"/>
  <c r="E225" i="6"/>
  <c r="E224" i="6"/>
  <c r="E223" i="6"/>
  <c r="E222" i="6"/>
  <c r="E221" i="6"/>
  <c r="E220" i="6"/>
  <c r="E219" i="6"/>
  <c r="E218" i="6"/>
  <c r="E217" i="6"/>
  <c r="E216" i="6"/>
  <c r="E215" i="6"/>
  <c r="E214" i="6"/>
  <c r="O186" i="6"/>
  <c r="C186" i="6"/>
  <c r="T191" i="6"/>
  <c r="S191" i="6"/>
  <c r="R191" i="6"/>
  <c r="Q191" i="6"/>
  <c r="P191" i="6"/>
  <c r="H191" i="6"/>
  <c r="G191" i="6"/>
  <c r="F191" i="6"/>
  <c r="E191" i="6"/>
  <c r="D191" i="6"/>
  <c r="S159" i="6"/>
  <c r="R159" i="6"/>
  <c r="Q159" i="6"/>
  <c r="G159" i="6"/>
  <c r="F159" i="6"/>
  <c r="E159" i="6"/>
  <c r="S158" i="6"/>
  <c r="R158" i="6"/>
  <c r="Q158" i="6"/>
  <c r="G158" i="6"/>
  <c r="F158" i="6"/>
  <c r="E158" i="6"/>
  <c r="S157" i="6"/>
  <c r="R157" i="6"/>
  <c r="Q157" i="6"/>
  <c r="G157" i="6"/>
  <c r="F157" i="6"/>
  <c r="E157" i="6"/>
  <c r="S156" i="6"/>
  <c r="R156" i="6"/>
  <c r="Q156" i="6"/>
  <c r="G156" i="6"/>
  <c r="F156" i="6"/>
  <c r="E156" i="6"/>
  <c r="S155" i="6"/>
  <c r="R155" i="6"/>
  <c r="Q155" i="6"/>
  <c r="G155" i="6"/>
  <c r="F155" i="6"/>
  <c r="E155" i="6"/>
  <c r="S154" i="6"/>
  <c r="R154" i="6"/>
  <c r="Q154" i="6"/>
  <c r="G154" i="6"/>
  <c r="F154" i="6"/>
  <c r="E154" i="6"/>
  <c r="S153" i="6"/>
  <c r="R153" i="6"/>
  <c r="Q153" i="6"/>
  <c r="G153" i="6"/>
  <c r="F153" i="6"/>
  <c r="E153" i="6"/>
  <c r="S152" i="6"/>
  <c r="R152" i="6"/>
  <c r="Q152" i="6"/>
  <c r="G152" i="6"/>
  <c r="F152" i="6"/>
  <c r="E152" i="6"/>
  <c r="S151" i="6"/>
  <c r="R151" i="6"/>
  <c r="Q151" i="6"/>
  <c r="G151" i="6"/>
  <c r="F151" i="6"/>
  <c r="E151" i="6"/>
  <c r="S150" i="6"/>
  <c r="R150" i="6"/>
  <c r="Q150" i="6"/>
  <c r="G150" i="6"/>
  <c r="F150" i="6"/>
  <c r="E150" i="6"/>
  <c r="S149" i="6"/>
  <c r="R149" i="6"/>
  <c r="Q149" i="6"/>
  <c r="G149" i="6"/>
  <c r="F149" i="6"/>
  <c r="E149" i="6"/>
  <c r="S148" i="6"/>
  <c r="R148" i="6"/>
  <c r="Q148" i="6"/>
  <c r="G148" i="6"/>
  <c r="F148" i="6"/>
  <c r="E148" i="6"/>
  <c r="S147" i="6"/>
  <c r="R147" i="6"/>
  <c r="Q147" i="6"/>
  <c r="G147" i="6"/>
  <c r="F147" i="6"/>
  <c r="E147" i="6"/>
  <c r="S146" i="6"/>
  <c r="R146" i="6"/>
  <c r="Q146" i="6"/>
  <c r="G146" i="6"/>
  <c r="F146" i="6"/>
  <c r="E146" i="6"/>
  <c r="S145" i="6"/>
  <c r="R145" i="6"/>
  <c r="Q145" i="6"/>
  <c r="G145" i="6"/>
  <c r="F145" i="6"/>
  <c r="E145" i="6"/>
  <c r="S144" i="6"/>
  <c r="R144" i="6"/>
  <c r="Q144" i="6"/>
  <c r="G144" i="6"/>
  <c r="F144" i="6"/>
  <c r="E144" i="6"/>
  <c r="S142" i="6"/>
  <c r="R142" i="6"/>
  <c r="Q142" i="6"/>
  <c r="G142" i="6"/>
  <c r="F142" i="6"/>
  <c r="E142" i="6"/>
  <c r="O138" i="6"/>
  <c r="C138" i="6"/>
  <c r="T136" i="6"/>
  <c r="S136" i="6"/>
  <c r="R136" i="6"/>
  <c r="Q136" i="6"/>
  <c r="P136" i="6"/>
  <c r="H136" i="6"/>
  <c r="G136" i="6"/>
  <c r="F136" i="6"/>
  <c r="E136" i="6"/>
  <c r="D136" i="6"/>
  <c r="T119" i="6"/>
  <c r="S119" i="6"/>
  <c r="T118" i="6"/>
  <c r="S118" i="6"/>
  <c r="T117" i="6"/>
  <c r="S117" i="6"/>
  <c r="T116" i="6"/>
  <c r="S116" i="6"/>
  <c r="T115" i="6"/>
  <c r="S115" i="6"/>
  <c r="T114" i="6"/>
  <c r="S114" i="6"/>
  <c r="T113" i="6"/>
  <c r="S113" i="6"/>
  <c r="T112" i="6"/>
  <c r="S112" i="6"/>
  <c r="T111" i="6"/>
  <c r="S111" i="6"/>
  <c r="T110" i="6"/>
  <c r="S110" i="6"/>
  <c r="T109" i="6"/>
  <c r="S109" i="6"/>
  <c r="T108" i="6"/>
  <c r="S108" i="6"/>
  <c r="T107" i="6"/>
  <c r="S107" i="6"/>
  <c r="T106" i="6"/>
  <c r="S106" i="6"/>
  <c r="T105" i="6"/>
  <c r="S105" i="6"/>
  <c r="T104" i="6"/>
  <c r="S104" i="6"/>
  <c r="H67" i="6"/>
  <c r="G67" i="6"/>
  <c r="H66" i="6"/>
  <c r="G66" i="6"/>
  <c r="H65" i="6"/>
  <c r="G65" i="6"/>
  <c r="H64" i="6"/>
  <c r="G64" i="6"/>
  <c r="H63" i="6"/>
  <c r="G63" i="6"/>
  <c r="H62" i="6"/>
  <c r="G62" i="6"/>
  <c r="H61" i="6"/>
  <c r="G61" i="6"/>
  <c r="H60" i="6"/>
  <c r="G60" i="6"/>
  <c r="H59" i="6"/>
  <c r="G59" i="6"/>
  <c r="H58" i="6"/>
  <c r="G58" i="6"/>
  <c r="H57" i="6"/>
  <c r="G57" i="6"/>
  <c r="H56" i="6"/>
  <c r="G56" i="6"/>
  <c r="H55" i="6"/>
  <c r="G55" i="6"/>
  <c r="H54" i="6"/>
  <c r="G54" i="6"/>
  <c r="H53" i="6"/>
  <c r="G53" i="6"/>
  <c r="H52" i="6"/>
  <c r="G52" i="6"/>
  <c r="H51" i="6"/>
  <c r="G51" i="6"/>
  <c r="H50" i="6"/>
  <c r="G50" i="6"/>
  <c r="H49" i="6"/>
  <c r="G49" i="6"/>
  <c r="N98" i="6"/>
  <c r="B98" i="6"/>
  <c r="H104" i="6"/>
  <c r="H119" i="6"/>
  <c r="H118" i="6"/>
  <c r="H117" i="6"/>
  <c r="H116" i="6"/>
  <c r="H115" i="6"/>
  <c r="H114" i="6"/>
  <c r="H113" i="6"/>
  <c r="H112" i="6"/>
  <c r="H111" i="6"/>
  <c r="H110" i="6"/>
  <c r="H109" i="6"/>
  <c r="H108" i="6"/>
  <c r="H107" i="6"/>
  <c r="H106" i="6"/>
  <c r="H105" i="6"/>
  <c r="G119" i="6"/>
  <c r="G118" i="6"/>
  <c r="G117" i="6"/>
  <c r="G116" i="6"/>
  <c r="G115" i="6"/>
  <c r="G114" i="6"/>
  <c r="G113" i="6"/>
  <c r="G112" i="6"/>
  <c r="G111" i="6"/>
  <c r="G110" i="6"/>
  <c r="G109" i="6"/>
  <c r="G108" i="6"/>
  <c r="G107" i="6"/>
  <c r="G106" i="6"/>
  <c r="G105" i="6"/>
  <c r="G104" i="6"/>
  <c r="R94" i="6"/>
  <c r="P94" i="6"/>
  <c r="F94" i="6"/>
  <c r="D94" i="6"/>
  <c r="R84" i="6"/>
  <c r="P84" i="6"/>
  <c r="F84" i="6"/>
  <c r="D84" i="6"/>
  <c r="C102" i="6" l="1"/>
  <c r="O102" i="6"/>
  <c r="T218" i="6"/>
  <c r="T226" i="6"/>
  <c r="T215" i="6"/>
  <c r="T223" i="6"/>
  <c r="T220" i="6"/>
  <c r="T225" i="6"/>
  <c r="T228" i="6"/>
  <c r="T217" i="6"/>
  <c r="H221" i="6"/>
  <c r="H219" i="6"/>
  <c r="T145" i="6"/>
  <c r="T153" i="6"/>
  <c r="T157" i="6"/>
  <c r="T144" i="6"/>
  <c r="T148" i="6"/>
  <c r="T152" i="6"/>
  <c r="T156" i="6"/>
  <c r="H150" i="6"/>
  <c r="H158" i="6"/>
  <c r="H154" i="6"/>
  <c r="H146" i="6"/>
  <c r="T219" i="6"/>
  <c r="T227" i="6"/>
  <c r="T216" i="6"/>
  <c r="T224" i="6"/>
  <c r="T221" i="6"/>
  <c r="H142" i="6"/>
  <c r="H147" i="6"/>
  <c r="H151" i="6"/>
  <c r="H155" i="6"/>
  <c r="H159" i="6"/>
  <c r="T147" i="6"/>
  <c r="T155" i="6"/>
  <c r="H215" i="6"/>
  <c r="H223" i="6"/>
  <c r="H214" i="6"/>
  <c r="H222" i="6"/>
  <c r="T214" i="6"/>
  <c r="T222" i="6"/>
  <c r="T149" i="6"/>
  <c r="H220" i="6"/>
  <c r="H228" i="6"/>
  <c r="H145" i="6"/>
  <c r="H153" i="6"/>
  <c r="H216" i="6"/>
  <c r="H224" i="6"/>
  <c r="H144" i="6"/>
  <c r="T150" i="6"/>
  <c r="H152" i="6"/>
  <c r="H218" i="6"/>
  <c r="H226" i="6"/>
  <c r="H217" i="6"/>
  <c r="H225" i="6"/>
  <c r="H227" i="6"/>
  <c r="H212" i="6"/>
  <c r="I105" i="6"/>
  <c r="D105" i="6" s="1"/>
  <c r="T159" i="6"/>
  <c r="T146" i="6"/>
  <c r="T154" i="6"/>
  <c r="I117" i="6"/>
  <c r="D117" i="6" s="1"/>
  <c r="H148" i="6"/>
  <c r="H156" i="6"/>
  <c r="T158" i="6"/>
  <c r="H149" i="6"/>
  <c r="H157" i="6"/>
  <c r="T142" i="6"/>
  <c r="T151" i="6"/>
  <c r="I111" i="6"/>
  <c r="C111" i="6" s="1"/>
  <c r="I118" i="6"/>
  <c r="C118" i="6" s="1"/>
  <c r="I114" i="6"/>
  <c r="C114" i="6" s="1"/>
  <c r="I119" i="6"/>
  <c r="C119" i="6" s="1"/>
  <c r="U105" i="6"/>
  <c r="O105" i="6" s="1"/>
  <c r="U109" i="6"/>
  <c r="O109" i="6" s="1"/>
  <c r="U113" i="6"/>
  <c r="O113" i="6" s="1"/>
  <c r="U117" i="6"/>
  <c r="O117" i="6" s="1"/>
  <c r="U114" i="6"/>
  <c r="O114" i="6" s="1"/>
  <c r="I106" i="6"/>
  <c r="C106" i="6" s="1"/>
  <c r="U104" i="6"/>
  <c r="P104" i="6" s="1"/>
  <c r="U108" i="6"/>
  <c r="O108" i="6" s="1"/>
  <c r="U112" i="6"/>
  <c r="P112" i="6" s="1"/>
  <c r="U111" i="6"/>
  <c r="P111" i="6" s="1"/>
  <c r="U115" i="6"/>
  <c r="P115" i="6" s="1"/>
  <c r="U119" i="6"/>
  <c r="P119" i="6" s="1"/>
  <c r="U118" i="6"/>
  <c r="P118" i="6" s="1"/>
  <c r="U107" i="6"/>
  <c r="P107" i="6" s="1"/>
  <c r="I110" i="6"/>
  <c r="C110" i="6" s="1"/>
  <c r="I109" i="6"/>
  <c r="D109" i="6" s="1"/>
  <c r="I116" i="6"/>
  <c r="D116" i="6" s="1"/>
  <c r="I108" i="6"/>
  <c r="D108" i="6" s="1"/>
  <c r="I115" i="6"/>
  <c r="D115" i="6" s="1"/>
  <c r="I107" i="6"/>
  <c r="D107" i="6" s="1"/>
  <c r="I104" i="6"/>
  <c r="C104" i="6" s="1"/>
  <c r="I113" i="6"/>
  <c r="C113" i="6" s="1"/>
  <c r="U110" i="6"/>
  <c r="P110" i="6" s="1"/>
  <c r="I112" i="6"/>
  <c r="D112" i="6" s="1"/>
  <c r="U106" i="6"/>
  <c r="O106" i="6" s="1"/>
  <c r="U116" i="6"/>
  <c r="O116" i="6" s="1"/>
  <c r="I51" i="6"/>
  <c r="D51" i="6" s="1"/>
  <c r="I59" i="6"/>
  <c r="C59" i="6" s="1"/>
  <c r="I67" i="6"/>
  <c r="C67" i="6" s="1"/>
  <c r="I52" i="6"/>
  <c r="C52" i="6" s="1"/>
  <c r="I60" i="6"/>
  <c r="C60" i="6" s="1"/>
  <c r="I54" i="6"/>
  <c r="C54" i="6" s="1"/>
  <c r="I62" i="6"/>
  <c r="D62" i="6" s="1"/>
  <c r="I63" i="6"/>
  <c r="C63" i="6" s="1"/>
  <c r="I49" i="6"/>
  <c r="D49" i="6" s="1"/>
  <c r="I53" i="6"/>
  <c r="D53" i="6" s="1"/>
  <c r="I61" i="6"/>
  <c r="D61" i="6" s="1"/>
  <c r="I66" i="6"/>
  <c r="D66" i="6" s="1"/>
  <c r="I58" i="6"/>
  <c r="D58" i="6" s="1"/>
  <c r="I50" i="6"/>
  <c r="C50" i="6" s="1"/>
  <c r="I65" i="6"/>
  <c r="D65" i="6" s="1"/>
  <c r="I57" i="6"/>
  <c r="D57" i="6" s="1"/>
  <c r="I64" i="6"/>
  <c r="C64" i="6" s="1"/>
  <c r="I56" i="6"/>
  <c r="C56" i="6" s="1"/>
  <c r="I55" i="6"/>
  <c r="C55" i="6" s="1"/>
  <c r="C105" i="6" l="1"/>
  <c r="D118" i="6"/>
  <c r="D119" i="6"/>
  <c r="C117" i="6"/>
  <c r="D111" i="6"/>
  <c r="D114" i="6"/>
  <c r="P113" i="6"/>
  <c r="P109" i="6"/>
  <c r="P105" i="6"/>
  <c r="P117" i="6"/>
  <c r="P108" i="6"/>
  <c r="D106" i="6"/>
  <c r="O111" i="6"/>
  <c r="P114" i="6"/>
  <c r="O115" i="6"/>
  <c r="O112" i="6"/>
  <c r="O104" i="6"/>
  <c r="O119" i="6"/>
  <c r="D60" i="6"/>
  <c r="O118" i="6"/>
  <c r="O107" i="6"/>
  <c r="O110" i="6"/>
  <c r="C109" i="6"/>
  <c r="D67" i="6"/>
  <c r="C108" i="6"/>
  <c r="D104" i="6"/>
  <c r="D110" i="6"/>
  <c r="C115" i="6"/>
  <c r="D113" i="6"/>
  <c r="D59" i="6"/>
  <c r="C107" i="6"/>
  <c r="C116" i="6"/>
  <c r="C112" i="6"/>
  <c r="P106" i="6"/>
  <c r="P116" i="6"/>
  <c r="C51" i="6"/>
  <c r="C49" i="6"/>
  <c r="D52" i="6"/>
  <c r="D55" i="6"/>
  <c r="D56" i="6"/>
  <c r="D54" i="6"/>
  <c r="C62" i="6"/>
  <c r="C53" i="6"/>
  <c r="C61" i="6"/>
  <c r="D63" i="6"/>
  <c r="C57" i="6"/>
  <c r="D50" i="6"/>
  <c r="C66" i="6"/>
  <c r="D64" i="6"/>
  <c r="C65" i="6"/>
  <c r="C58" i="6"/>
  <c r="T86" i="6" l="1"/>
  <c r="H86" i="6"/>
  <c r="P95" i="6" l="1"/>
  <c r="R95" i="6"/>
  <c r="D95" i="6"/>
  <c r="F95" i="6"/>
  <c r="F85" i="6"/>
  <c r="D85" i="6"/>
  <c r="P85" i="6"/>
  <c r="R85" i="6"/>
  <c r="T42" i="6"/>
  <c r="R42" i="6"/>
  <c r="P42" i="6"/>
  <c r="T41" i="6"/>
  <c r="R41" i="6"/>
  <c r="P41" i="6"/>
  <c r="H42" i="6"/>
  <c r="F42" i="6"/>
  <c r="D42" i="6"/>
  <c r="H41" i="6"/>
  <c r="F41" i="6"/>
  <c r="D41" i="6"/>
  <c r="Q25" i="6"/>
  <c r="N44" i="6"/>
  <c r="R39" i="6"/>
  <c r="P39" i="6"/>
  <c r="Q23" i="6"/>
  <c r="Q17" i="6"/>
  <c r="B44" i="6"/>
  <c r="G6" i="7"/>
  <c r="G7" i="7"/>
  <c r="G8" i="7"/>
  <c r="G9" i="7"/>
  <c r="G10" i="7"/>
  <c r="G11" i="7"/>
  <c r="G12" i="7"/>
  <c r="G13" i="7"/>
  <c r="G14" i="7"/>
  <c r="G15" i="7"/>
  <c r="G16" i="7"/>
  <c r="G17" i="7"/>
  <c r="G18" i="7"/>
  <c r="G19" i="7"/>
  <c r="G20" i="7"/>
  <c r="G21" i="7"/>
  <c r="G22" i="7"/>
  <c r="G23" i="7"/>
  <c r="G24" i="7"/>
  <c r="G25" i="7"/>
  <c r="G26" i="7"/>
  <c r="G27" i="7"/>
  <c r="G28" i="7"/>
  <c r="G29" i="7"/>
  <c r="G30" i="7"/>
  <c r="G31" i="7"/>
  <c r="G32" i="7"/>
  <c r="G33" i="7"/>
  <c r="G34" i="7"/>
  <c r="G35" i="7"/>
  <c r="G36" i="7"/>
  <c r="G37" i="7"/>
  <c r="G5" i="7"/>
  <c r="F39" i="6"/>
  <c r="D39" i="6"/>
  <c r="K6" i="7"/>
  <c r="L6" i="7" s="1"/>
  <c r="K7" i="7"/>
  <c r="L7" i="7" s="1"/>
  <c r="K8" i="7"/>
  <c r="L8" i="7" s="1"/>
  <c r="K9" i="7"/>
  <c r="L9" i="7" s="1"/>
  <c r="K10" i="7"/>
  <c r="L10" i="7" s="1"/>
  <c r="K11" i="7"/>
  <c r="L11" i="7" s="1"/>
  <c r="K12" i="7"/>
  <c r="L12" i="7" s="1"/>
  <c r="K13" i="7"/>
  <c r="L13" i="7" s="1"/>
  <c r="K14" i="7"/>
  <c r="L14" i="7" s="1"/>
  <c r="K15" i="7"/>
  <c r="L15" i="7" s="1"/>
  <c r="K16" i="7"/>
  <c r="L16" i="7" s="1"/>
  <c r="K17" i="7"/>
  <c r="L17" i="7" s="1"/>
  <c r="K18" i="7"/>
  <c r="L18" i="7" s="1"/>
  <c r="K19" i="7"/>
  <c r="L19" i="7" s="1"/>
  <c r="K20" i="7"/>
  <c r="L20" i="7" s="1"/>
  <c r="K21" i="7"/>
  <c r="L21" i="7" s="1"/>
  <c r="K22" i="7"/>
  <c r="L22" i="7" s="1"/>
  <c r="K23" i="7"/>
  <c r="L23" i="7" s="1"/>
  <c r="K24" i="7"/>
  <c r="L24" i="7" s="1"/>
  <c r="K25" i="7"/>
  <c r="L25" i="7" s="1"/>
  <c r="K26" i="7"/>
  <c r="L26" i="7" s="1"/>
  <c r="K27" i="7"/>
  <c r="L27" i="7" s="1"/>
  <c r="K28" i="7"/>
  <c r="L28" i="7" s="1"/>
  <c r="K29" i="7"/>
  <c r="L29" i="7" s="1"/>
  <c r="K30" i="7"/>
  <c r="L30" i="7" s="1"/>
  <c r="K31" i="7"/>
  <c r="L31" i="7" s="1"/>
  <c r="K32" i="7"/>
  <c r="L32" i="7" s="1"/>
  <c r="K33" i="7"/>
  <c r="L33" i="7" s="1"/>
  <c r="K34" i="7"/>
  <c r="L34" i="7" s="1"/>
  <c r="K35" i="7"/>
  <c r="L35" i="7" s="1"/>
  <c r="K36" i="7"/>
  <c r="L36" i="7" s="1"/>
  <c r="K37" i="7"/>
  <c r="L37" i="7" s="1"/>
  <c r="K5" i="7"/>
  <c r="L5" i="7" s="1"/>
  <c r="BF6" i="7"/>
  <c r="BG6" i="7"/>
  <c r="BH6" i="7"/>
  <c r="BI6" i="7"/>
  <c r="BJ6" i="7"/>
  <c r="BK6" i="7"/>
  <c r="BL6" i="7"/>
  <c r="BM6" i="7"/>
  <c r="BN6" i="7"/>
  <c r="BO6" i="7"/>
  <c r="BP6" i="7"/>
  <c r="BQ6" i="7"/>
  <c r="BR6" i="7"/>
  <c r="BS6" i="7"/>
  <c r="BT6" i="7"/>
  <c r="BU6" i="7"/>
  <c r="BV6" i="7"/>
  <c r="BW6" i="7"/>
  <c r="BX6" i="7"/>
  <c r="BF7" i="7"/>
  <c r="BG7" i="7"/>
  <c r="BH7" i="7"/>
  <c r="BI7" i="7"/>
  <c r="BJ7" i="7"/>
  <c r="BK7" i="7"/>
  <c r="BL7" i="7"/>
  <c r="BM7" i="7"/>
  <c r="BN7" i="7"/>
  <c r="BO7" i="7"/>
  <c r="BP7" i="7"/>
  <c r="BQ7" i="7"/>
  <c r="BR7" i="7"/>
  <c r="BS7" i="7"/>
  <c r="BT7" i="7"/>
  <c r="BU7" i="7"/>
  <c r="BV7" i="7"/>
  <c r="BW7" i="7"/>
  <c r="BX7" i="7"/>
  <c r="BF8" i="7"/>
  <c r="BG8" i="7"/>
  <c r="BH8" i="7"/>
  <c r="BI8" i="7"/>
  <c r="BJ8" i="7"/>
  <c r="BK8" i="7"/>
  <c r="BL8" i="7"/>
  <c r="BM8" i="7"/>
  <c r="BN8" i="7"/>
  <c r="BO8" i="7"/>
  <c r="BP8" i="7"/>
  <c r="BQ8" i="7"/>
  <c r="BR8" i="7"/>
  <c r="BS8" i="7"/>
  <c r="BT8" i="7"/>
  <c r="BU8" i="7"/>
  <c r="BV8" i="7"/>
  <c r="BW8" i="7"/>
  <c r="BX8" i="7"/>
  <c r="BF9" i="7"/>
  <c r="BG9" i="7"/>
  <c r="BH9" i="7"/>
  <c r="BI9" i="7"/>
  <c r="BJ9" i="7"/>
  <c r="BK9" i="7"/>
  <c r="BL9" i="7"/>
  <c r="BM9" i="7"/>
  <c r="BN9" i="7"/>
  <c r="BO9" i="7"/>
  <c r="BP9" i="7"/>
  <c r="BQ9" i="7"/>
  <c r="BR9" i="7"/>
  <c r="BS9" i="7"/>
  <c r="BT9" i="7"/>
  <c r="BU9" i="7"/>
  <c r="BV9" i="7"/>
  <c r="BW9" i="7"/>
  <c r="BX9" i="7"/>
  <c r="BF10" i="7"/>
  <c r="BG10" i="7"/>
  <c r="BH10" i="7"/>
  <c r="BI10" i="7"/>
  <c r="BJ10" i="7"/>
  <c r="BK10" i="7"/>
  <c r="BL10" i="7"/>
  <c r="BM10" i="7"/>
  <c r="BN10" i="7"/>
  <c r="BO10" i="7"/>
  <c r="BP10" i="7"/>
  <c r="BQ10" i="7"/>
  <c r="BR10" i="7"/>
  <c r="BS10" i="7"/>
  <c r="BT10" i="7"/>
  <c r="BU10" i="7"/>
  <c r="BV10" i="7"/>
  <c r="BW10" i="7"/>
  <c r="BX10" i="7"/>
  <c r="BF11" i="7"/>
  <c r="BG11" i="7"/>
  <c r="BH11" i="7"/>
  <c r="BI11" i="7"/>
  <c r="BJ11" i="7"/>
  <c r="BK11" i="7"/>
  <c r="BL11" i="7"/>
  <c r="BM11" i="7"/>
  <c r="BN11" i="7"/>
  <c r="BO11" i="7"/>
  <c r="BP11" i="7"/>
  <c r="BQ11" i="7"/>
  <c r="BR11" i="7"/>
  <c r="BS11" i="7"/>
  <c r="BT11" i="7"/>
  <c r="BU11" i="7"/>
  <c r="BV11" i="7"/>
  <c r="BW11" i="7"/>
  <c r="BX11" i="7"/>
  <c r="BF12" i="7"/>
  <c r="BG12" i="7"/>
  <c r="BH12" i="7"/>
  <c r="BI12" i="7"/>
  <c r="BJ12" i="7"/>
  <c r="BK12" i="7"/>
  <c r="BL12" i="7"/>
  <c r="BM12" i="7"/>
  <c r="BN12" i="7"/>
  <c r="BO12" i="7"/>
  <c r="BP12" i="7"/>
  <c r="BQ12" i="7"/>
  <c r="BR12" i="7"/>
  <c r="BS12" i="7"/>
  <c r="BT12" i="7"/>
  <c r="BU12" i="7"/>
  <c r="BV12" i="7"/>
  <c r="BW12" i="7"/>
  <c r="BX12" i="7"/>
  <c r="BF13" i="7"/>
  <c r="BG13" i="7"/>
  <c r="BH13" i="7"/>
  <c r="BI13" i="7"/>
  <c r="BJ13" i="7"/>
  <c r="BK13" i="7"/>
  <c r="BL13" i="7"/>
  <c r="BM13" i="7"/>
  <c r="BN13" i="7"/>
  <c r="BO13" i="7"/>
  <c r="BP13" i="7"/>
  <c r="BQ13" i="7"/>
  <c r="BR13" i="7"/>
  <c r="BS13" i="7"/>
  <c r="BT13" i="7"/>
  <c r="BU13" i="7"/>
  <c r="BV13" i="7"/>
  <c r="BW13" i="7"/>
  <c r="BX13" i="7"/>
  <c r="BF14" i="7"/>
  <c r="BG14" i="7"/>
  <c r="BH14" i="7"/>
  <c r="BI14" i="7"/>
  <c r="BJ14" i="7"/>
  <c r="BK14" i="7"/>
  <c r="BL14" i="7"/>
  <c r="BM14" i="7"/>
  <c r="BN14" i="7"/>
  <c r="BO14" i="7"/>
  <c r="BP14" i="7"/>
  <c r="BQ14" i="7"/>
  <c r="BR14" i="7"/>
  <c r="BS14" i="7"/>
  <c r="BT14" i="7"/>
  <c r="BU14" i="7"/>
  <c r="BV14" i="7"/>
  <c r="BW14" i="7"/>
  <c r="BX14" i="7"/>
  <c r="BF15" i="7"/>
  <c r="BG15" i="7"/>
  <c r="BH15" i="7"/>
  <c r="BI15" i="7"/>
  <c r="BJ15" i="7"/>
  <c r="BK15" i="7"/>
  <c r="BL15" i="7"/>
  <c r="BM15" i="7"/>
  <c r="BN15" i="7"/>
  <c r="BO15" i="7"/>
  <c r="BP15" i="7"/>
  <c r="BQ15" i="7"/>
  <c r="BR15" i="7"/>
  <c r="BS15" i="7"/>
  <c r="BT15" i="7"/>
  <c r="BU15" i="7"/>
  <c r="BV15" i="7"/>
  <c r="BW15" i="7"/>
  <c r="BX15" i="7"/>
  <c r="BF16" i="7"/>
  <c r="BG16" i="7"/>
  <c r="BH16" i="7"/>
  <c r="BI16" i="7"/>
  <c r="BJ16" i="7"/>
  <c r="BK16" i="7"/>
  <c r="BL16" i="7"/>
  <c r="BM16" i="7"/>
  <c r="BN16" i="7"/>
  <c r="BO16" i="7"/>
  <c r="BP16" i="7"/>
  <c r="BQ16" i="7"/>
  <c r="BR16" i="7"/>
  <c r="BS16" i="7"/>
  <c r="BT16" i="7"/>
  <c r="BU16" i="7"/>
  <c r="BV16" i="7"/>
  <c r="BW16" i="7"/>
  <c r="BX16" i="7"/>
  <c r="BF17" i="7"/>
  <c r="BG17" i="7"/>
  <c r="BH17" i="7"/>
  <c r="BI17" i="7"/>
  <c r="BJ17" i="7"/>
  <c r="BK17" i="7"/>
  <c r="BL17" i="7"/>
  <c r="BM17" i="7"/>
  <c r="BN17" i="7"/>
  <c r="BO17" i="7"/>
  <c r="BP17" i="7"/>
  <c r="BQ17" i="7"/>
  <c r="BR17" i="7"/>
  <c r="BS17" i="7"/>
  <c r="BT17" i="7"/>
  <c r="BU17" i="7"/>
  <c r="BV17" i="7"/>
  <c r="BW17" i="7"/>
  <c r="BX17" i="7"/>
  <c r="BF18" i="7"/>
  <c r="BG18" i="7"/>
  <c r="BH18" i="7"/>
  <c r="BI18" i="7"/>
  <c r="BJ18" i="7"/>
  <c r="BK18" i="7"/>
  <c r="BL18" i="7"/>
  <c r="BM18" i="7"/>
  <c r="BN18" i="7"/>
  <c r="BO18" i="7"/>
  <c r="BP18" i="7"/>
  <c r="BQ18" i="7"/>
  <c r="BR18" i="7"/>
  <c r="BS18" i="7"/>
  <c r="BT18" i="7"/>
  <c r="BU18" i="7"/>
  <c r="BV18" i="7"/>
  <c r="BW18" i="7"/>
  <c r="BX18" i="7"/>
  <c r="BF19" i="7"/>
  <c r="BG19" i="7"/>
  <c r="BH19" i="7"/>
  <c r="BI19" i="7"/>
  <c r="BJ19" i="7"/>
  <c r="BK19" i="7"/>
  <c r="BL19" i="7"/>
  <c r="BM19" i="7"/>
  <c r="BN19" i="7"/>
  <c r="BO19" i="7"/>
  <c r="BP19" i="7"/>
  <c r="BQ19" i="7"/>
  <c r="BR19" i="7"/>
  <c r="BS19" i="7"/>
  <c r="BT19" i="7"/>
  <c r="BU19" i="7"/>
  <c r="BV19" i="7"/>
  <c r="BW19" i="7"/>
  <c r="BX19" i="7"/>
  <c r="BF20" i="7"/>
  <c r="BG20" i="7"/>
  <c r="BH20" i="7"/>
  <c r="BI20" i="7"/>
  <c r="BJ20" i="7"/>
  <c r="BK20" i="7"/>
  <c r="BL20" i="7"/>
  <c r="BM20" i="7"/>
  <c r="BN20" i="7"/>
  <c r="BO20" i="7"/>
  <c r="BP20" i="7"/>
  <c r="BQ20" i="7"/>
  <c r="BR20" i="7"/>
  <c r="BS20" i="7"/>
  <c r="BT20" i="7"/>
  <c r="BU20" i="7"/>
  <c r="BV20" i="7"/>
  <c r="BW20" i="7"/>
  <c r="BX20" i="7"/>
  <c r="BF21" i="7"/>
  <c r="BG21" i="7"/>
  <c r="BH21" i="7"/>
  <c r="BI21" i="7"/>
  <c r="BJ21" i="7"/>
  <c r="BK21" i="7"/>
  <c r="BL21" i="7"/>
  <c r="BM21" i="7"/>
  <c r="BN21" i="7"/>
  <c r="BO21" i="7"/>
  <c r="BP21" i="7"/>
  <c r="BQ21" i="7"/>
  <c r="BR21" i="7"/>
  <c r="BS21" i="7"/>
  <c r="BT21" i="7"/>
  <c r="BU21" i="7"/>
  <c r="BV21" i="7"/>
  <c r="BW21" i="7"/>
  <c r="BX21" i="7"/>
  <c r="BF22" i="7"/>
  <c r="BG22" i="7"/>
  <c r="BH22" i="7"/>
  <c r="BI22" i="7"/>
  <c r="BJ22" i="7"/>
  <c r="BK22" i="7"/>
  <c r="BL22" i="7"/>
  <c r="BM22" i="7"/>
  <c r="BN22" i="7"/>
  <c r="BO22" i="7"/>
  <c r="BP22" i="7"/>
  <c r="BQ22" i="7"/>
  <c r="BR22" i="7"/>
  <c r="BS22" i="7"/>
  <c r="BT22" i="7"/>
  <c r="BU22" i="7"/>
  <c r="BV22" i="7"/>
  <c r="BW22" i="7"/>
  <c r="BX22" i="7"/>
  <c r="BF23" i="7"/>
  <c r="BG23" i="7"/>
  <c r="BH23" i="7"/>
  <c r="BI23" i="7"/>
  <c r="BJ23" i="7"/>
  <c r="BK23" i="7"/>
  <c r="BL23" i="7"/>
  <c r="BM23" i="7"/>
  <c r="BN23" i="7"/>
  <c r="BO23" i="7"/>
  <c r="BP23" i="7"/>
  <c r="BQ23" i="7"/>
  <c r="BR23" i="7"/>
  <c r="BS23" i="7"/>
  <c r="BT23" i="7"/>
  <c r="BU23" i="7"/>
  <c r="BV23" i="7"/>
  <c r="BW23" i="7"/>
  <c r="BX23" i="7"/>
  <c r="BF24" i="7"/>
  <c r="BG24" i="7"/>
  <c r="BH24" i="7"/>
  <c r="BI24" i="7"/>
  <c r="BJ24" i="7"/>
  <c r="BK24" i="7"/>
  <c r="BL24" i="7"/>
  <c r="BM24" i="7"/>
  <c r="BN24" i="7"/>
  <c r="BO24" i="7"/>
  <c r="BP24" i="7"/>
  <c r="BQ24" i="7"/>
  <c r="BR24" i="7"/>
  <c r="BS24" i="7"/>
  <c r="BT24" i="7"/>
  <c r="BU24" i="7"/>
  <c r="BV24" i="7"/>
  <c r="BW24" i="7"/>
  <c r="BX24" i="7"/>
  <c r="BF25" i="7"/>
  <c r="BG25" i="7"/>
  <c r="BH25" i="7"/>
  <c r="BI25" i="7"/>
  <c r="BJ25" i="7"/>
  <c r="BK25" i="7"/>
  <c r="BL25" i="7"/>
  <c r="BM25" i="7"/>
  <c r="BN25" i="7"/>
  <c r="BO25" i="7"/>
  <c r="BP25" i="7"/>
  <c r="BQ25" i="7"/>
  <c r="BR25" i="7"/>
  <c r="BS25" i="7"/>
  <c r="BT25" i="7"/>
  <c r="BU25" i="7"/>
  <c r="BV25" i="7"/>
  <c r="BW25" i="7"/>
  <c r="BX25" i="7"/>
  <c r="BF26" i="7"/>
  <c r="BG26" i="7"/>
  <c r="BH26" i="7"/>
  <c r="BI26" i="7"/>
  <c r="BJ26" i="7"/>
  <c r="BK26" i="7"/>
  <c r="BL26" i="7"/>
  <c r="BM26" i="7"/>
  <c r="BN26" i="7"/>
  <c r="BO26" i="7"/>
  <c r="BP26" i="7"/>
  <c r="BQ26" i="7"/>
  <c r="BR26" i="7"/>
  <c r="BS26" i="7"/>
  <c r="BT26" i="7"/>
  <c r="BU26" i="7"/>
  <c r="BV26" i="7"/>
  <c r="BW26" i="7"/>
  <c r="BX26" i="7"/>
  <c r="BF27" i="7"/>
  <c r="BG27" i="7"/>
  <c r="BH27" i="7"/>
  <c r="BI27" i="7"/>
  <c r="BJ27" i="7"/>
  <c r="BK27" i="7"/>
  <c r="BL27" i="7"/>
  <c r="BM27" i="7"/>
  <c r="BN27" i="7"/>
  <c r="BO27" i="7"/>
  <c r="BP27" i="7"/>
  <c r="BQ27" i="7"/>
  <c r="BR27" i="7"/>
  <c r="BS27" i="7"/>
  <c r="BT27" i="7"/>
  <c r="BU27" i="7"/>
  <c r="BV27" i="7"/>
  <c r="BW27" i="7"/>
  <c r="BX27" i="7"/>
  <c r="BF28" i="7"/>
  <c r="BG28" i="7"/>
  <c r="BH28" i="7"/>
  <c r="BI28" i="7"/>
  <c r="BJ28" i="7"/>
  <c r="BK28" i="7"/>
  <c r="BL28" i="7"/>
  <c r="BM28" i="7"/>
  <c r="BN28" i="7"/>
  <c r="BO28" i="7"/>
  <c r="BP28" i="7"/>
  <c r="BQ28" i="7"/>
  <c r="BR28" i="7"/>
  <c r="BS28" i="7"/>
  <c r="BT28" i="7"/>
  <c r="BU28" i="7"/>
  <c r="BV28" i="7"/>
  <c r="BW28" i="7"/>
  <c r="BX28" i="7"/>
  <c r="BF29" i="7"/>
  <c r="BG29" i="7"/>
  <c r="BH29" i="7"/>
  <c r="BI29" i="7"/>
  <c r="BJ29" i="7"/>
  <c r="BK29" i="7"/>
  <c r="BL29" i="7"/>
  <c r="BM29" i="7"/>
  <c r="BN29" i="7"/>
  <c r="BO29" i="7"/>
  <c r="BP29" i="7"/>
  <c r="BQ29" i="7"/>
  <c r="BR29" i="7"/>
  <c r="BS29" i="7"/>
  <c r="BT29" i="7"/>
  <c r="BU29" i="7"/>
  <c r="BV29" i="7"/>
  <c r="BW29" i="7"/>
  <c r="BX29" i="7"/>
  <c r="BF30" i="7"/>
  <c r="BG30" i="7"/>
  <c r="BH30" i="7"/>
  <c r="BI30" i="7"/>
  <c r="BJ30" i="7"/>
  <c r="BK30" i="7"/>
  <c r="BL30" i="7"/>
  <c r="BM30" i="7"/>
  <c r="BN30" i="7"/>
  <c r="BO30" i="7"/>
  <c r="BP30" i="7"/>
  <c r="BQ30" i="7"/>
  <c r="BR30" i="7"/>
  <c r="BS30" i="7"/>
  <c r="BT30" i="7"/>
  <c r="BU30" i="7"/>
  <c r="BV30" i="7"/>
  <c r="BW30" i="7"/>
  <c r="BX30" i="7"/>
  <c r="BF31" i="7"/>
  <c r="BG31" i="7"/>
  <c r="BH31" i="7"/>
  <c r="BI31" i="7"/>
  <c r="BJ31" i="7"/>
  <c r="BK31" i="7"/>
  <c r="BL31" i="7"/>
  <c r="BM31" i="7"/>
  <c r="BN31" i="7"/>
  <c r="BO31" i="7"/>
  <c r="BP31" i="7"/>
  <c r="BQ31" i="7"/>
  <c r="BR31" i="7"/>
  <c r="BS31" i="7"/>
  <c r="BT31" i="7"/>
  <c r="BU31" i="7"/>
  <c r="BV31" i="7"/>
  <c r="BW31" i="7"/>
  <c r="BX31" i="7"/>
  <c r="BF32" i="7"/>
  <c r="BG32" i="7"/>
  <c r="BH32" i="7"/>
  <c r="BI32" i="7"/>
  <c r="BJ32" i="7"/>
  <c r="BK32" i="7"/>
  <c r="BL32" i="7"/>
  <c r="BM32" i="7"/>
  <c r="BN32" i="7"/>
  <c r="BO32" i="7"/>
  <c r="BP32" i="7"/>
  <c r="BQ32" i="7"/>
  <c r="BR32" i="7"/>
  <c r="BS32" i="7"/>
  <c r="BT32" i="7"/>
  <c r="BU32" i="7"/>
  <c r="BV32" i="7"/>
  <c r="BW32" i="7"/>
  <c r="BX32" i="7"/>
  <c r="BF33" i="7"/>
  <c r="BG33" i="7"/>
  <c r="BH33" i="7"/>
  <c r="BI33" i="7"/>
  <c r="BJ33" i="7"/>
  <c r="BK33" i="7"/>
  <c r="BL33" i="7"/>
  <c r="BM33" i="7"/>
  <c r="BN33" i="7"/>
  <c r="BO33" i="7"/>
  <c r="BP33" i="7"/>
  <c r="BQ33" i="7"/>
  <c r="BR33" i="7"/>
  <c r="BS33" i="7"/>
  <c r="BT33" i="7"/>
  <c r="BU33" i="7"/>
  <c r="BV33" i="7"/>
  <c r="BW33" i="7"/>
  <c r="BX33" i="7"/>
  <c r="BF34" i="7"/>
  <c r="BG34" i="7"/>
  <c r="BH34" i="7"/>
  <c r="BI34" i="7"/>
  <c r="BJ34" i="7"/>
  <c r="BK34" i="7"/>
  <c r="BL34" i="7"/>
  <c r="BM34" i="7"/>
  <c r="BN34" i="7"/>
  <c r="BO34" i="7"/>
  <c r="BP34" i="7"/>
  <c r="BQ34" i="7"/>
  <c r="BR34" i="7"/>
  <c r="BS34" i="7"/>
  <c r="BT34" i="7"/>
  <c r="BU34" i="7"/>
  <c r="BV34" i="7"/>
  <c r="BW34" i="7"/>
  <c r="BX34" i="7"/>
  <c r="BF35" i="7"/>
  <c r="BG35" i="7"/>
  <c r="BH35" i="7"/>
  <c r="BI35" i="7"/>
  <c r="BJ35" i="7"/>
  <c r="BK35" i="7"/>
  <c r="BL35" i="7"/>
  <c r="BM35" i="7"/>
  <c r="BN35" i="7"/>
  <c r="BO35" i="7"/>
  <c r="BP35" i="7"/>
  <c r="BQ35" i="7"/>
  <c r="BR35" i="7"/>
  <c r="BS35" i="7"/>
  <c r="BT35" i="7"/>
  <c r="BU35" i="7"/>
  <c r="BV35" i="7"/>
  <c r="BW35" i="7"/>
  <c r="BX35" i="7"/>
  <c r="BF36" i="7"/>
  <c r="BG36" i="7"/>
  <c r="BH36" i="7"/>
  <c r="BI36" i="7"/>
  <c r="BJ36" i="7"/>
  <c r="BK36" i="7"/>
  <c r="BL36" i="7"/>
  <c r="BM36" i="7"/>
  <c r="BN36" i="7"/>
  <c r="BO36" i="7"/>
  <c r="BP36" i="7"/>
  <c r="BQ36" i="7"/>
  <c r="BR36" i="7"/>
  <c r="BS36" i="7"/>
  <c r="BT36" i="7"/>
  <c r="BU36" i="7"/>
  <c r="BV36" i="7"/>
  <c r="BW36" i="7"/>
  <c r="BX36" i="7"/>
  <c r="BG5" i="7"/>
  <c r="BH5" i="7"/>
  <c r="BI5" i="7"/>
  <c r="BJ5" i="7"/>
  <c r="BK5" i="7"/>
  <c r="BL5" i="7"/>
  <c r="BM5" i="7"/>
  <c r="BN5" i="7"/>
  <c r="BO5" i="7"/>
  <c r="BP5" i="7"/>
  <c r="BQ5" i="7"/>
  <c r="BR5" i="7"/>
  <c r="BS5" i="7"/>
  <c r="BT5" i="7"/>
  <c r="BU5" i="7"/>
  <c r="BV5" i="7"/>
  <c r="BW5" i="7"/>
  <c r="BX5" i="7"/>
  <c r="BF5" i="7"/>
  <c r="AM37" i="7"/>
  <c r="T49" i="6" s="1"/>
  <c r="AN37" i="7"/>
  <c r="T50" i="6" s="1"/>
  <c r="AO37" i="7"/>
  <c r="T51" i="6" s="1"/>
  <c r="AP37" i="7"/>
  <c r="T52" i="6" s="1"/>
  <c r="AQ37" i="7"/>
  <c r="T53" i="6" s="1"/>
  <c r="AR37" i="7"/>
  <c r="T54" i="6" s="1"/>
  <c r="AS37" i="7"/>
  <c r="T55" i="6" s="1"/>
  <c r="AT37" i="7"/>
  <c r="T56" i="6" s="1"/>
  <c r="AU37" i="7"/>
  <c r="T57" i="6" s="1"/>
  <c r="AV37" i="7"/>
  <c r="T58" i="6" s="1"/>
  <c r="AW37" i="7"/>
  <c r="T59" i="6" s="1"/>
  <c r="AX37" i="7"/>
  <c r="T60" i="6" s="1"/>
  <c r="AY37" i="7"/>
  <c r="T61" i="6" s="1"/>
  <c r="AZ37" i="7"/>
  <c r="T62" i="6" s="1"/>
  <c r="BA37" i="7"/>
  <c r="T63" i="6" s="1"/>
  <c r="BB37" i="7"/>
  <c r="T64" i="6" s="1"/>
  <c r="BC37" i="7"/>
  <c r="T65" i="6" s="1"/>
  <c r="BD37" i="7"/>
  <c r="T66" i="6" s="1"/>
  <c r="BE37" i="7"/>
  <c r="T67" i="6" s="1"/>
  <c r="T37" i="7"/>
  <c r="S49" i="6" s="1"/>
  <c r="U37" i="7"/>
  <c r="S50" i="6" s="1"/>
  <c r="V37" i="7"/>
  <c r="S51" i="6" s="1"/>
  <c r="W37" i="7"/>
  <c r="S52" i="6" s="1"/>
  <c r="X37" i="7"/>
  <c r="S53" i="6" s="1"/>
  <c r="Y37" i="7"/>
  <c r="Z37" i="7"/>
  <c r="S55" i="6" s="1"/>
  <c r="AA37" i="7"/>
  <c r="S56" i="6" s="1"/>
  <c r="AB37" i="7"/>
  <c r="S57" i="6" s="1"/>
  <c r="AC37" i="7"/>
  <c r="S58" i="6" s="1"/>
  <c r="AL37" i="7"/>
  <c r="S67" i="6" s="1"/>
  <c r="AJ37" i="7"/>
  <c r="S65" i="6" s="1"/>
  <c r="AK37" i="7"/>
  <c r="S66" i="6" s="1"/>
  <c r="AD37" i="7"/>
  <c r="S59" i="6" s="1"/>
  <c r="AE37" i="7"/>
  <c r="S60" i="6" s="1"/>
  <c r="AF37" i="7"/>
  <c r="AG37" i="7"/>
  <c r="AH37" i="7"/>
  <c r="S63" i="6" s="1"/>
  <c r="AI37" i="7"/>
  <c r="S64" i="6" s="1"/>
  <c r="U50" i="6" l="1"/>
  <c r="O50" i="6" s="1"/>
  <c r="U57" i="6"/>
  <c r="O57" i="6" s="1"/>
  <c r="U56" i="6"/>
  <c r="O56" i="6" s="1"/>
  <c r="U63" i="6"/>
  <c r="P63" i="6" s="1"/>
  <c r="U60" i="6"/>
  <c r="P60" i="6" s="1"/>
  <c r="U55" i="6"/>
  <c r="P55" i="6" s="1"/>
  <c r="U49" i="6"/>
  <c r="O49" i="6" s="1"/>
  <c r="U58" i="6"/>
  <c r="P58" i="6" s="1"/>
  <c r="U66" i="6"/>
  <c r="P66" i="6" s="1"/>
  <c r="U53" i="6"/>
  <c r="P53" i="6" s="1"/>
  <c r="U59" i="6"/>
  <c r="P59" i="6" s="1"/>
  <c r="U65" i="6"/>
  <c r="P65" i="6" s="1"/>
  <c r="U52" i="6"/>
  <c r="P52" i="6" s="1"/>
  <c r="U64" i="6"/>
  <c r="P64" i="6" s="1"/>
  <c r="U67" i="6"/>
  <c r="P67" i="6" s="1"/>
  <c r="U51" i="6"/>
  <c r="P51" i="6" s="1"/>
  <c r="BS37" i="7"/>
  <c r="BK37" i="7"/>
  <c r="BR37" i="7"/>
  <c r="Q19" i="6"/>
  <c r="S61" i="6"/>
  <c r="S54" i="6"/>
  <c r="S62" i="6"/>
  <c r="D34" i="6"/>
  <c r="P34" i="6"/>
  <c r="T38" i="6"/>
  <c r="BT37" i="7"/>
  <c r="BL37" i="7"/>
  <c r="BQ37" i="7"/>
  <c r="BI37" i="7"/>
  <c r="H38" i="6"/>
  <c r="BP37" i="7"/>
  <c r="BJ37" i="7"/>
  <c r="BX37" i="7"/>
  <c r="BH37" i="7"/>
  <c r="BW37" i="7"/>
  <c r="BV37" i="7"/>
  <c r="BU37" i="7"/>
  <c r="BO37" i="7"/>
  <c r="BG37" i="7"/>
  <c r="BN37" i="7"/>
  <c r="BF37" i="7"/>
  <c r="BM37" i="7"/>
  <c r="P56" i="6" l="1"/>
  <c r="P57" i="6"/>
  <c r="O59" i="6"/>
  <c r="O53" i="6"/>
  <c r="O64" i="6"/>
  <c r="O52" i="6"/>
  <c r="O67" i="6"/>
  <c r="P49" i="6"/>
  <c r="O60" i="6"/>
  <c r="P50" i="6"/>
  <c r="O55" i="6"/>
  <c r="O66" i="6"/>
  <c r="O65" i="6"/>
  <c r="U62" i="6"/>
  <c r="P62" i="6" s="1"/>
  <c r="U54" i="6"/>
  <c r="P54" i="6" s="1"/>
  <c r="O63" i="6"/>
  <c r="U61" i="6"/>
  <c r="P61" i="6" s="1"/>
  <c r="O51" i="6"/>
  <c r="O58" i="6"/>
  <c r="D40" i="6"/>
  <c r="P40" i="6"/>
  <c r="R40" i="6"/>
  <c r="F40" i="6"/>
  <c r="O61" i="6" l="1"/>
  <c r="O54" i="6"/>
  <c r="O62" i="6"/>
</calcChain>
</file>

<file path=xl/sharedStrings.xml><?xml version="1.0" encoding="utf-8"?>
<sst xmlns="http://schemas.openxmlformats.org/spreadsheetml/2006/main" count="1138" uniqueCount="391">
  <si>
    <t>Aguascalientes</t>
  </si>
  <si>
    <t>Baja California</t>
  </si>
  <si>
    <t>Baja California Sur</t>
  </si>
  <si>
    <t>Campeche</t>
  </si>
  <si>
    <t>Coahuila</t>
  </si>
  <si>
    <t>Colima</t>
  </si>
  <si>
    <t>Chiapas</t>
  </si>
  <si>
    <t>Chihuahua</t>
  </si>
  <si>
    <t>Ciudad de México</t>
  </si>
  <si>
    <t>Durango</t>
  </si>
  <si>
    <t>Guanajuato</t>
  </si>
  <si>
    <t>Guerrero</t>
  </si>
  <si>
    <t>Hidalgo</t>
  </si>
  <si>
    <t>Jalisco</t>
  </si>
  <si>
    <t>México</t>
  </si>
  <si>
    <t>Michoacán</t>
  </si>
  <si>
    <t>Morelos</t>
  </si>
  <si>
    <t>Nayarit</t>
  </si>
  <si>
    <t>Nuevo León</t>
  </si>
  <si>
    <t>Oaxaca</t>
  </si>
  <si>
    <t>Puebla</t>
  </si>
  <si>
    <t>Querétaro</t>
  </si>
  <si>
    <t>Quintana Roo</t>
  </si>
  <si>
    <t>San Luis Potosí</t>
  </si>
  <si>
    <t>Sinaloa</t>
  </si>
  <si>
    <t>Sonora</t>
  </si>
  <si>
    <t>Tabasco</t>
  </si>
  <si>
    <t>Tamaulipas</t>
  </si>
  <si>
    <t>Tlaxcala</t>
  </si>
  <si>
    <t>Veracruz</t>
  </si>
  <si>
    <t>Yucatán</t>
  </si>
  <si>
    <t>Zacatecas</t>
  </si>
  <si>
    <t>Nacional</t>
  </si>
  <si>
    <t>Entidad</t>
  </si>
  <si>
    <t>Población</t>
  </si>
  <si>
    <t>Participación ciudadana</t>
  </si>
  <si>
    <t>Total</t>
  </si>
  <si>
    <t>Sexo</t>
  </si>
  <si>
    <t>Grupos de edad</t>
  </si>
  <si>
    <t>20-24</t>
  </si>
  <si>
    <t>25-29</t>
  </si>
  <si>
    <t>30-34</t>
  </si>
  <si>
    <t>35-39</t>
  </si>
  <si>
    <t>40-44</t>
  </si>
  <si>
    <t>45-49</t>
  </si>
  <si>
    <t>50-54</t>
  </si>
  <si>
    <t>55-59</t>
  </si>
  <si>
    <t>60-64</t>
  </si>
  <si>
    <t>65-69</t>
  </si>
  <si>
    <t>70-74</t>
  </si>
  <si>
    <t>75-79</t>
  </si>
  <si>
    <t>80-84</t>
  </si>
  <si>
    <t>85 o más</t>
  </si>
  <si>
    <t>Tipo de sección</t>
  </si>
  <si>
    <t>Urbana</t>
  </si>
  <si>
    <t>No urbana</t>
  </si>
  <si>
    <t>Rural</t>
  </si>
  <si>
    <t>Mixta</t>
  </si>
  <si>
    <t>Tema</t>
  </si>
  <si>
    <t>Lista nominal</t>
  </si>
  <si>
    <t>Desagregación</t>
  </si>
  <si>
    <t>Población de 18 años y más</t>
  </si>
  <si>
    <t>Población de 15 años y más analfabeta</t>
  </si>
  <si>
    <t>Grado promedio de escolaridad</t>
  </si>
  <si>
    <t>Monografías Distritales</t>
  </si>
  <si>
    <t>Grado de complejidad Electoral</t>
  </si>
  <si>
    <t>Democracia</t>
  </si>
  <si>
    <t>Educación</t>
  </si>
  <si>
    <t>Monografías Estatales</t>
  </si>
  <si>
    <t>Accesibilidad a servicios</t>
  </si>
  <si>
    <t>Compromiso cívico y gobernanza</t>
  </si>
  <si>
    <t>Comunidad (relaciones sociales)</t>
  </si>
  <si>
    <t>Salud</t>
  </si>
  <si>
    <t>Satisfacción con la vida</t>
  </si>
  <si>
    <t>Balance vida-trabajo</t>
  </si>
  <si>
    <t>Seguridad</t>
  </si>
  <si>
    <t>Ingresos</t>
  </si>
  <si>
    <t>Empleo</t>
  </si>
  <si>
    <t>Medio ambiente</t>
  </si>
  <si>
    <t>Vivienda</t>
  </si>
  <si>
    <t>Economía</t>
  </si>
  <si>
    <t>PIB per cápita USD</t>
  </si>
  <si>
    <t>Índice de Desarrollo Humano</t>
  </si>
  <si>
    <t>Índice de Marginación</t>
  </si>
  <si>
    <t>Desarrollo y marginación</t>
  </si>
  <si>
    <t>Hogares con acceso a banda ancha</t>
  </si>
  <si>
    <t>Acceso a servicios de salud</t>
  </si>
  <si>
    <t>Viviendas con acceso a servicios básicos</t>
  </si>
  <si>
    <t>Participación cívica y política</t>
  </si>
  <si>
    <t>Participación electoral</t>
  </si>
  <si>
    <t>Percepción de ausencia de corrupción en el sistema judicial</t>
  </si>
  <si>
    <t>Percepción de confianza en los jueces</t>
  </si>
  <si>
    <t>Calidad de la red social de soporte</t>
  </si>
  <si>
    <t>Esperanza de vida al nacer</t>
  </si>
  <si>
    <t>Salud autorreportada</t>
  </si>
  <si>
    <t>Tasa de obesidad</t>
  </si>
  <si>
    <t>Tasa de mortalidad infantil</t>
  </si>
  <si>
    <t>Defunciones de mujeres por cada 100 mil nacidos vivos</t>
  </si>
  <si>
    <t>Niveles de educación</t>
  </si>
  <si>
    <t>Deserción escolar</t>
  </si>
  <si>
    <t>Años promedio de escolaridad</t>
  </si>
  <si>
    <t>Satisfacción con tiempo para ocio</t>
  </si>
  <si>
    <t>Población ocupada trabajando más de 48 horas</t>
  </si>
  <si>
    <t>Tasa de homicidios</t>
  </si>
  <si>
    <t>Confianza en la policía</t>
  </si>
  <si>
    <t>Percepción de la inseguridad</t>
  </si>
  <si>
    <t>Tasa de incidencia delictiva
Delitos por cada 100 000 habitantes</t>
  </si>
  <si>
    <t>Gini del ingreso disponible de los hogares per cápita</t>
  </si>
  <si>
    <t>Ingreso equivalente disponible de los hogares</t>
  </si>
  <si>
    <t>Porcentaje de la población en situación de pobreza</t>
  </si>
  <si>
    <t>Porcentaje de la población en situación de pobreza extrema</t>
  </si>
  <si>
    <t>Tasa de condiciones críticas de ocupación</t>
  </si>
  <si>
    <t>Tasa de informalidad laboral</t>
  </si>
  <si>
    <t>Tasa de desocupación</t>
  </si>
  <si>
    <t>Tasa de participación económica</t>
  </si>
  <si>
    <t>Contaminación del aire PM2.5 microgramos por metro cúbico</t>
  </si>
  <si>
    <t>Disposición de residuos</t>
  </si>
  <si>
    <t>Habitaciones por persona</t>
  </si>
  <si>
    <t>Porcentaje de viviendas con techos de materiales resistentes</t>
  </si>
  <si>
    <t>Indicador</t>
  </si>
  <si>
    <t>Enidad Federativa</t>
  </si>
  <si>
    <t>1. Accesibilidad a servicios</t>
  </si>
  <si>
    <t>2. Compromiso cívico y gobernanza</t>
  </si>
  <si>
    <t>3.Comunidad (relaciones sociales)</t>
  </si>
  <si>
    <t>4. Salud</t>
  </si>
  <si>
    <t>5. Educación</t>
  </si>
  <si>
    <t>6. Satisfacción con la vida</t>
  </si>
  <si>
    <t>7. Balance vida-trabajo</t>
  </si>
  <si>
    <t>8. Seguridad</t>
  </si>
  <si>
    <t>9. Ingresos</t>
  </si>
  <si>
    <t>10. Empleo</t>
  </si>
  <si>
    <t>11. Medio ambiente</t>
  </si>
  <si>
    <t>12. Vivienda</t>
  </si>
  <si>
    <t>1.1 Hogares con acceso a banda ancha</t>
  </si>
  <si>
    <t>1.2 Acceso a servicios de salud</t>
  </si>
  <si>
    <t>1.3 Viviendas con acceso a servicios básicos</t>
  </si>
  <si>
    <t>2.1 Participación cívica y política</t>
  </si>
  <si>
    <t>2.2 Participación electoral</t>
  </si>
  <si>
    <t>2.3 Percepción de ausencia de corrupción en el sistema judicial</t>
  </si>
  <si>
    <t>2.4 Percepción de confianza en los jueces</t>
  </si>
  <si>
    <t>3.1 Calidad de la red social de soporte</t>
  </si>
  <si>
    <t>4.1 Esperanza de vida al nacer</t>
  </si>
  <si>
    <t>4.2 Salud autorreportada</t>
  </si>
  <si>
    <t>4.3 Tasa de obesidad</t>
  </si>
  <si>
    <t>4.4 Tasa de mortalidad infantil</t>
  </si>
  <si>
    <t>4.5 Defunciones de mujeres por cada 100 mil nacidos vivos</t>
  </si>
  <si>
    <t>5.1 Niveles de educación</t>
  </si>
  <si>
    <t>5.2 Deserción escolar</t>
  </si>
  <si>
    <t>5.3 Años promedio de escolaridad</t>
  </si>
  <si>
    <t>6.1 Satisfacción con la vida</t>
  </si>
  <si>
    <t>7.1 Satisfacción con tiempo para ocio</t>
  </si>
  <si>
    <t>7.2 Población ocupada trabajando más de 48 horas</t>
  </si>
  <si>
    <t>8.1 Tasa de homicidios</t>
  </si>
  <si>
    <t>8.2 Confianza en la policía</t>
  </si>
  <si>
    <t>8.3 Percepción de la inseguridad</t>
  </si>
  <si>
    <t>8.4 Tasa de incidencia delictiva
Delitos por cada 100 000 habitantes</t>
  </si>
  <si>
    <t>9.1 Gini del ingreso disponible de los hogares per cápita</t>
  </si>
  <si>
    <t>9.2 Ingreso equivalente disponible de los hogares</t>
  </si>
  <si>
    <t>9.3 Porcentaje de la población en situación de pobreza</t>
  </si>
  <si>
    <t>9.4 Porcentaje de la población en situación de pobreza extrema</t>
  </si>
  <si>
    <t>10.1 Tasa de condiciones críticas de ocupación</t>
  </si>
  <si>
    <t>10.2 Tasa de informalidad laboral</t>
  </si>
  <si>
    <t>10.3 Tasa de desocupación</t>
  </si>
  <si>
    <t>10.4 Tasa de participación económica</t>
  </si>
  <si>
    <t>11.1 Contaminación del aire
PM2.5 microgramos por metro cúbico</t>
  </si>
  <si>
    <t>11.2 Disposición de residuos</t>
  </si>
  <si>
    <t>12.1 Habitaciones por persona</t>
  </si>
  <si>
    <t>12.2 Porcentaje de viviendas con techos de materiales resistentes</t>
  </si>
  <si>
    <t>Último año disponible</t>
  </si>
  <si>
    <t>Coahuila de Zaragoza</t>
  </si>
  <si>
    <t>Michoacán de Ocampo</t>
  </si>
  <si>
    <t>Veracruz de Ignacio de la Llave</t>
  </si>
  <si>
    <t>Mujer</t>
  </si>
  <si>
    <t>Hombre</t>
  </si>
  <si>
    <t>Hombres</t>
  </si>
  <si>
    <t>Mujeres</t>
  </si>
  <si>
    <t>Municipios</t>
  </si>
  <si>
    <t>Porcentaje superficie País</t>
  </si>
  <si>
    <t>Distribución de población</t>
  </si>
  <si>
    <t>Densidad de población</t>
  </si>
  <si>
    <t>Extensión territoral Km2</t>
  </si>
  <si>
    <t>Pob_Mujeres</t>
  </si>
  <si>
    <t>Pob_Hombres</t>
  </si>
  <si>
    <t>Pob_Total</t>
  </si>
  <si>
    <t>M_0 a 4 años</t>
  </si>
  <si>
    <t>M_5 a 9</t>
  </si>
  <si>
    <t>M_10 a 14</t>
  </si>
  <si>
    <t>M_15 a 19</t>
  </si>
  <si>
    <t>M_20 a 24</t>
  </si>
  <si>
    <t>M_25 a 29</t>
  </si>
  <si>
    <t>M_30 a 34</t>
  </si>
  <si>
    <t>M_35 a 39</t>
  </si>
  <si>
    <t>M_40 a 44</t>
  </si>
  <si>
    <t>M_45 a 49</t>
  </si>
  <si>
    <t>M_50 a 54</t>
  </si>
  <si>
    <t>M_55 a 59</t>
  </si>
  <si>
    <t>M_70 a 74</t>
  </si>
  <si>
    <t>M_75 a 79</t>
  </si>
  <si>
    <t>M_80 a 84</t>
  </si>
  <si>
    <t>M_85 y más</t>
  </si>
  <si>
    <t>M_60 a 64</t>
  </si>
  <si>
    <t>M_65 a 69</t>
  </si>
  <si>
    <t>Sin especificar</t>
  </si>
  <si>
    <t>H_0 a 4 años</t>
  </si>
  <si>
    <t>H_5 a 9</t>
  </si>
  <si>
    <t>H_10 a 14</t>
  </si>
  <si>
    <t>H_15 a 19</t>
  </si>
  <si>
    <t>H_20 a 24</t>
  </si>
  <si>
    <t>H_25 a 29</t>
  </si>
  <si>
    <t>H_30 a 34</t>
  </si>
  <si>
    <t>H_35 a 39</t>
  </si>
  <si>
    <t>H_40 a 44</t>
  </si>
  <si>
    <t>H_45 a 49</t>
  </si>
  <si>
    <t>H_50 a 54</t>
  </si>
  <si>
    <t>H_55 a 59</t>
  </si>
  <si>
    <t>H_60 a 64</t>
  </si>
  <si>
    <t>H_65 a 69</t>
  </si>
  <si>
    <t>H_70 a 74</t>
  </si>
  <si>
    <t>H_75 a 79</t>
  </si>
  <si>
    <t>H_80 a 84</t>
  </si>
  <si>
    <t>H_85 y Hás</t>
  </si>
  <si>
    <t>T_0 a 4 años</t>
  </si>
  <si>
    <t>T_5 a 9</t>
  </si>
  <si>
    <t>T_10 a 14</t>
  </si>
  <si>
    <t>T_15 a 19</t>
  </si>
  <si>
    <t>T_20 a 24</t>
  </si>
  <si>
    <t>T_25 a 29</t>
  </si>
  <si>
    <t>T_30 a 34</t>
  </si>
  <si>
    <t>T_35 a 39</t>
  </si>
  <si>
    <t>T_40 a 44</t>
  </si>
  <si>
    <t>T_45 a 49</t>
  </si>
  <si>
    <t>T_50 a 54</t>
  </si>
  <si>
    <t>T_55 a 59</t>
  </si>
  <si>
    <t>T_60 a 64</t>
  </si>
  <si>
    <t>T_65 a 69</t>
  </si>
  <si>
    <t>T_70 a 74</t>
  </si>
  <si>
    <t>T_75 a 79</t>
  </si>
  <si>
    <t>T_80 a 84</t>
  </si>
  <si>
    <t>T_85 y Tás</t>
  </si>
  <si>
    <t>Porcentaje población localidadades de menos de 2 500 habitantes</t>
  </si>
  <si>
    <t>Población por rango de edad</t>
  </si>
  <si>
    <t>Entidades</t>
  </si>
  <si>
    <t>Porcentaje Población_Nacional</t>
  </si>
  <si>
    <t>Entidad:</t>
  </si>
  <si>
    <t>INSTITUTO NACIONAL ELECTORAL</t>
  </si>
  <si>
    <t>DIRECCIÓN EJECUTIVA DE ORGANIZACIÓN ELECTORAL</t>
  </si>
  <si>
    <t>DIRECCIÓN DE PLANEACIÓN Y SEGUIMIENTO</t>
  </si>
  <si>
    <t>Estudio Muestral sobre la Participación Ciudadana en las Elecciones Federales de 2021</t>
  </si>
  <si>
    <t>Monografías Estales</t>
  </si>
  <si>
    <r>
      <t>Superficie Km</t>
    </r>
    <r>
      <rPr>
        <b/>
        <vertAlign val="superscript"/>
        <sz val="8"/>
        <rFont val="Arial"/>
        <family val="2"/>
      </rPr>
      <t>2</t>
    </r>
    <r>
      <rPr>
        <b/>
        <sz val="8"/>
        <rFont val="Arial"/>
        <family val="2"/>
      </rPr>
      <t>:</t>
    </r>
  </si>
  <si>
    <t>Municipios:</t>
  </si>
  <si>
    <t>Porcentaje de población a nivel nacional:</t>
  </si>
  <si>
    <t>5 a 9</t>
  </si>
  <si>
    <t>10 a 14</t>
  </si>
  <si>
    <t>15 a 19</t>
  </si>
  <si>
    <t>20 a 24</t>
  </si>
  <si>
    <t>25 a 29</t>
  </si>
  <si>
    <t>30 a 34</t>
  </si>
  <si>
    <t>35 a 39</t>
  </si>
  <si>
    <t>40 a 44</t>
  </si>
  <si>
    <t>45 a 49</t>
  </si>
  <si>
    <t>50 a 54</t>
  </si>
  <si>
    <t>55 a 59</t>
  </si>
  <si>
    <t>60 a 64</t>
  </si>
  <si>
    <t>65 a 69</t>
  </si>
  <si>
    <t>70 a 74</t>
  </si>
  <si>
    <t>75 a 79</t>
  </si>
  <si>
    <t>80 a 84</t>
  </si>
  <si>
    <t>85 y más</t>
  </si>
  <si>
    <t>0 a 4</t>
  </si>
  <si>
    <t>Edad mediana de la población:</t>
  </si>
  <si>
    <t>Porcentaje de población:</t>
  </si>
  <si>
    <t>Población:</t>
  </si>
  <si>
    <t>Edad_Mediana_Hombres</t>
  </si>
  <si>
    <t>Edad_Mediana</t>
  </si>
  <si>
    <t>Edad_Mediana_Mujeres</t>
  </si>
  <si>
    <t>Grupo de edad</t>
  </si>
  <si>
    <t>Estados Unidos Mexicanos</t>
  </si>
  <si>
    <t>Esperanza de vida</t>
  </si>
  <si>
    <t>Esperanza de vida:</t>
  </si>
  <si>
    <t>Esperanza de vida_Hombres</t>
  </si>
  <si>
    <t>Esperanza de vida_Mujeres</t>
  </si>
  <si>
    <t>H_18</t>
  </si>
  <si>
    <t>H_19</t>
  </si>
  <si>
    <t>H_20-24</t>
  </si>
  <si>
    <t>H_25-29</t>
  </si>
  <si>
    <t>H_30-34</t>
  </si>
  <si>
    <t>H_35-39</t>
  </si>
  <si>
    <t>H_40-44</t>
  </si>
  <si>
    <t>H_45-49</t>
  </si>
  <si>
    <t>H_50-54</t>
  </si>
  <si>
    <t>H_55-59</t>
  </si>
  <si>
    <t>H_60-64</t>
  </si>
  <si>
    <t>H_65-69</t>
  </si>
  <si>
    <t>H_70-74</t>
  </si>
  <si>
    <t>H_75-79</t>
  </si>
  <si>
    <t>H_80-84</t>
  </si>
  <si>
    <t>H_85 o más</t>
  </si>
  <si>
    <t>H_Total</t>
  </si>
  <si>
    <t>M_18</t>
  </si>
  <si>
    <t>M_19</t>
  </si>
  <si>
    <t>M_20-24</t>
  </si>
  <si>
    <t>M_25-29</t>
  </si>
  <si>
    <t>M_30-34</t>
  </si>
  <si>
    <t>M_35-39</t>
  </si>
  <si>
    <t>M_40-44</t>
  </si>
  <si>
    <t>M_45-49</t>
  </si>
  <si>
    <t>M_50-54</t>
  </si>
  <si>
    <t>M_55-59</t>
  </si>
  <si>
    <t>M_60-64</t>
  </si>
  <si>
    <t>M_65-69</t>
  </si>
  <si>
    <t>M_70-74</t>
  </si>
  <si>
    <t>M_75-79</t>
  </si>
  <si>
    <t>M_80-84</t>
  </si>
  <si>
    <t>M_85 o más</t>
  </si>
  <si>
    <t>M_Total</t>
  </si>
  <si>
    <t>T_18</t>
  </si>
  <si>
    <t>T_19</t>
  </si>
  <si>
    <t>T_20-24</t>
  </si>
  <si>
    <t>T_25-29</t>
  </si>
  <si>
    <t>T_30-34</t>
  </si>
  <si>
    <t>T_35-39</t>
  </si>
  <si>
    <t>T_40-44</t>
  </si>
  <si>
    <t>T_45-49</t>
  </si>
  <si>
    <t>T_50-54</t>
  </si>
  <si>
    <t>T_55-59</t>
  </si>
  <si>
    <t>T_60-64</t>
  </si>
  <si>
    <t>T_65-69</t>
  </si>
  <si>
    <t>T_70-74</t>
  </si>
  <si>
    <t>T_75-79</t>
  </si>
  <si>
    <t>T_80-84</t>
  </si>
  <si>
    <t>T_85 o más</t>
  </si>
  <si>
    <t>T_Total</t>
  </si>
  <si>
    <t>Ciudadanos</t>
  </si>
  <si>
    <t>Porcentaje de ciudadanos</t>
  </si>
  <si>
    <t>Urbano</t>
  </si>
  <si>
    <t>No urbano</t>
  </si>
  <si>
    <t>Porcentaje de ciudadanos:</t>
  </si>
  <si>
    <t>Porcentaje de participación ciudadana:</t>
  </si>
  <si>
    <t>Grupo de Edad</t>
  </si>
  <si>
    <t>Diferencia
M-H</t>
  </si>
  <si>
    <t>No Urbana</t>
  </si>
  <si>
    <t>Diferencia
No Urbana - Urbana</t>
  </si>
  <si>
    <t>Valor</t>
  </si>
  <si>
    <t>Posición Nacional</t>
  </si>
  <si>
    <t>5.1 Niveles de educación
(porcenje de población de 15 años y más que cuenta on educación media superior)</t>
  </si>
  <si>
    <t>5.1 Niveles de educación porcenje de población de 15 años y más que cuenta con educación media superior)</t>
  </si>
  <si>
    <t>Porcentaje de la superficie del País:</t>
  </si>
  <si>
    <t>Posición en la superficie del país:</t>
  </si>
  <si>
    <t>Pos_Territorio</t>
  </si>
  <si>
    <t>Pos_Desidad</t>
  </si>
  <si>
    <t>Pos_municipios</t>
  </si>
  <si>
    <t>Posición densidad poblacional:</t>
  </si>
  <si>
    <t>•	Baja California tiene una superficie de 71,450 km2, lo que equivale al 3.6 por ciento de la extensión territorial del país. 
•	Se divide en 7 municipios y su densidad poblacional es de 53 habitantes por km2, lo cual lo ubica en posición 20 a nivel nacional.</t>
  </si>
  <si>
    <t>•	Ciudad de México tiene una superficie de 1,494.3 km2, lo que equivale al 0.1 por ciento de la extensión territorial del país.
•	Se divide en 16 municipios y su densidad poblacional es de 6,163 habitantes por km2, siendo la entidad con mayor densidad a nivel nacional.</t>
  </si>
  <si>
    <t>•	Aguascalientes tiene una superficie de 5,615.7 km2, lo que equivale al 0.3 por ciento de la extensión territorial del país. Forma parte de los cinco estados más pequeños del país al ocupar la posición 29.
•	Se divide en 11 municipios y su densidad poblacional es de 254 habitantes por km2, siendo la quinta entidad con mayor densidad a nivel nacional.</t>
  </si>
  <si>
    <t>•	Baja California Sur tiene una superficie de 73,909.4 km2, lo que equivale al 3.8 por ciento de la extensión territorial del país. 
•	Se divide en 11 municipios y su densidad poblacional es de 11 habitantes por km2, siendo el estado con menor densidad a nivel nacional.</t>
  </si>
  <si>
    <t>•	Campeche tiene una superficie de 57,484.9 km2, lo que equivale al 2.9 por ciento de la extensión territorial del país. 
•	Se divide en 13 municipios y su densidad poblacional es de 16 habitantes por km2, siendo el quinto estado con menor densidad al ocupar la posición 29 a nivel nacional.</t>
  </si>
  <si>
    <t>•	Coahuila tiene una superficie de 151,595 km2, lo que equivale al 7.7 por ciento de la extensión territorial del país. Es el cuarto estado más grande del país. 
•	Se divide en 38 municipios y su densidad poblacional es de 21 habitantes por km2, lo cual lo ubica en la posición 27 a nivel nacional.</t>
  </si>
  <si>
    <t>•	Colima tiene una superficie de 5,626.9 km2, lo que equivale al 0.3 por ciento de la extensión territorial del país. 
•	Se divide en 10 municipios y su densidad poblacional es de 130 habitantes por km2, lo cual lo ubica en la posición 10 a nivel nacional.</t>
  </si>
  <si>
    <t>•	Chiapas tiene una superficie de 73,311 km2, lo que equivale al 3.7 por ciento de la extensión territorial del país. 
•	Se divide en 124 municipios y su densidad poblacional es de 76 habitantes por km2, lo cual lo ubica en la posición 16 a nivel nacional.</t>
  </si>
  <si>
    <t>•	Chihuahua tiene una superficie de 247,413 km2, lo que equivale al 12.6 por ciento de la extensión territorial del país. Es el segundo estado más grande del país.
•	Se divide en 67 municipios y su densidad poblacional es de 15 habitantes por km2, lo cual lo ubica en la posición 30 a nivel nacional.</t>
  </si>
  <si>
    <t>•	Durango tiene una superficie de 123,364 km2, lo que equivale al 6.3 por ciento de la extensión territorial del país. Es el tercer estado más grande del país.
•	Se divide en 39 municipios y su densidad poblacional es de 15 habitantes por km2, lo cual lo ubica como el segundo estado con menor densidad a nivel nacional.</t>
  </si>
  <si>
    <t>•	Guanajuato tiene una superficie de 30,606.7 km2, lo que equivale al 1.6 por ciento de la extensión territorial del país.
•	Se divide en 46 municipios y su densidad poblacional es de 201 habitantes por km2, lo cual lo ubica en la posición 7 a nivel nacional.</t>
  </si>
  <si>
    <t>•	Guerrero tiene una superficie de 63,595.9 km2, lo que equivale al 3.2 por ciento de la extensión territorial del país.
•	Se divide en 81 municipios y su densidad poblacional es de 56 habitantes por km2, lo cual lo ubica en la posición 18 a nivel nacional.</t>
  </si>
  <si>
    <t>•	Hidalgo tiene una superficie de 20,821.4 km2, lo que equivale al 1.1 por ciento de la extensión territorial del país.
•	Se divide en 84 municipios y su densidad poblacional es de 148 habitantes por km2, lo cual lo ubica en la posición 9 a nivel nacional.</t>
  </si>
  <si>
    <t>•	Jalisco tiene una superficie de 78,595.9 km2, lo que equivale al 4.0 por ciento de la extensión territorial del país. Es el quinto estado más grande del país.
•	Se divide en 125 municipios y su densidad poblacional es de 106 habitantes por km2, lo cual lo ubica en la posición 12 a nivel nacional.</t>
  </si>
  <si>
    <t>•	México tiene una superficie de 22,351.8 km2, lo que equivale al 1.1 por ciento de la extensión territorial del país.
•	Se divide en 125 municipios y su densidad poblacional es de 760 habitantes por km2, siendo la segunda entidad con mayor densidad a nivel nacional.</t>
  </si>
  <si>
    <t>•	Michoacán tiene una superficie de 58,598.7 km2, lo que equivale al 3.0 por ciento de la extensión territorial del país.
•	Se divide en 113 municipios y su densidad poblacional es de 81 habitantes por km2, lo cual lo ubica en la posición 15 a nivel nacional.</t>
  </si>
  <si>
    <t>•	Morelos tiene una superficie de 4,878.9 km2, lo que equivale al 0.2 por ciento de la extensión territorial del país.
•	Se divide en 36 municipios y su densidad poblacional es de 404 habitantes por km2, siendo la tercera entidad con mayor densidad a nivel nacional.</t>
  </si>
  <si>
    <t>•	Nayarit tiene una superficie de 27,856.5 km2, lo que equivale al 1.4 por ciento de la extensión territorial del país.
•	Se divide en 20 municipios y su densidad poblacional es de 44 habitantes por km2, lo cual lo ubica en la posición 22 a nivel nacional.</t>
  </si>
  <si>
    <t>•	Nuevo León tiene una superficie de 64,156.2 km2, lo que equivale al 3.3 por ciento de la extensión territorial del país.
•	Se divide en 51 municipios y su densidad poblacional es de 90 habitantes por km2, lo cual lo ubica en la posición 14 a nivel nacional.</t>
  </si>
  <si>
    <t>•	Oaxaca tiene una superficie de 93,757.6 km2, lo que equivale al 4.8 por ciento de la extensión territorial del país. Es el quinto estado más grade a nivel nacional.
•	Se divide en 570 municipios y su densidad poblacional es de 44 habitantes por km2, lo cual lo ubica en la posición 23 a nivel nacional.</t>
  </si>
  <si>
    <t>•	Puebla tiene una superficie de 34,309.6 km2, lo que equivale al 1.7 por ciento de la extensión territorial del país.
•	Se divide en 217 municipios y su densidad poblacional es de 192 habitantes por km2, lo cual lo ubica en la posición 8 a nivel nacional.</t>
  </si>
  <si>
    <t>•	Querétaro tiene una superficie de 11,690.6 km2, lo que equivale al 0.6 por ciento de la extensión territorial del país.
•	Se divide en 18 municipios y su densidad poblacional es de 203 habitantes por km2, lo cual lo ubica en la posición 6 a nivel nacional.</t>
  </si>
  <si>
    <t>•	Quintana Roo tiene una superficie de 44,705.2 km2, lo que equivale al 2.3 por ciento de la extensión territorial del país.
•	Se divide en 11 municipios y su densidad poblacional es de 42 habitantes por km2, lo cual lo ubica en la posición 25 a nivel nacional.</t>
  </si>
  <si>
    <t>•	San Luis Potosí tiene una superficie de 61,138.0 km2, lo que equivale al 3.1 por ciento de la extensión territorial del país.
•	Se divide en 58 municipios y su densidad poblacional es de 46 habitantes por km2, lo cual lo ubica en la posición 21 a nivel nacional.</t>
  </si>
  <si>
    <t>•	Sinaloa tiene una superficie de 57,365.4 km2, lo que equivale al 2.9 por ciento de la extensión territorial del país.
•	Se divide en 18 municipios y su densidad poblacional es de 53 habitantes por km2, lo cual lo ubica en la posición 19 a nivel nacional.</t>
  </si>
  <si>
    <t>•	Sonora tiene una superficie de 179,355.0 km2, lo que equivale al 9.1 por ciento de la extensión territorial del país. Es el segundo estado más grande del país.
•	Se divide en 72 municipios y su densidad poblacional es de 16 habitantes por km2, lo cual lo ubica en la posición 28 a nivel nacional.</t>
  </si>
  <si>
    <t>•	Tabasco tiene una superficie de 24,730.9 km2, lo que equivale al 1.3 por ciento de la extensión territorial del país.
•	Se divide en 17 municipios y su densidad poblacional es de 97 habitantes por km2, lo cual lo ubica en la posición 13 a nivel nacional.</t>
  </si>
  <si>
    <t>•	Tamaulipas tiene una superficie de 80,249.3 km2, lo que equivale al 4.1 por ciento de la extensión territorial del país.
•	Se divide en 43 municipios y su densidad poblacional es de 44 habitantes por km2, lo cual lo ubica en la posición 24 a nivel nacional.</t>
  </si>
  <si>
    <t>•	Tlaxcala tiene una superficie de 3,996.6 km2, lo que equivale al 0.2 por ciento de la extensión territorial del país. Es el segundo estado más pequeño del país
•	Se divide en 60 municipios y su densidad poblacional es de 336 habitantes por km2, siendo la cuarta entidad con mayor densidad a nivel nacional.</t>
  </si>
  <si>
    <t>•	Veracruz tiene una superficie de 71,823.5 km2, lo que equivale al 3.7 por ciento de la extensión territorial del país.
•	Se divide en 212 municipios y su densidad poblacional es de 112 habitantes por km2, lo cual lo ubica en la posición 11 a nivel nacional.</t>
  </si>
  <si>
    <t>•	Yucatán tiene una superficie de 39,524.4 km2, lo que equivale al 2.0 por ciento de la extensión territorial del país.
•	Se divide en 106 municipios y su densidad poblacional es de 59 habitantes por km2, lo cual lo ubica en la posición 17 a nivel nacional.</t>
  </si>
  <si>
    <t>•	Zacatecas tiene una superficie de 75,275.3 km2, lo que equivale al 3.8 por ciento de la extensión territorial del país.
•	Se divide en 58 municipios y su densidad poblacional es de 22 habitantes por km2, lo cual lo ubica en la posición 26 a nivel nacional.</t>
  </si>
  <si>
    <t>Texto</t>
  </si>
  <si>
    <t>Fuente: elaborado con base en información de INEGI. Censos y Conteos de Población y Vivienda. Disponible en: https://www.inegi.org.mx/programas/ccpv/2020/</t>
  </si>
  <si>
    <r>
      <t>Densidad poblacional (hab/Km</t>
    </r>
    <r>
      <rPr>
        <b/>
        <vertAlign val="superscript"/>
        <sz val="8"/>
        <rFont val="Arial"/>
        <family val="2"/>
      </rPr>
      <t>2</t>
    </r>
    <r>
      <rPr>
        <b/>
        <sz val="8"/>
        <rFont val="Arial"/>
        <family val="2"/>
      </rPr>
      <t>):</t>
    </r>
  </si>
  <si>
    <t>Fuente: elaborado por la Dirección de Planeación y Seguimiento de la Dirección Ejecutiva de Organización Electoral con base en la información de los Conteos Censales de Participación Ciudadana 2009-2021, disponible en https://www.ine.mx/transparencia/datos-abiertos/visualizacion-datos/conteos-censales-participacion/</t>
  </si>
  <si>
    <t>Fuente: elaborado por la Dirección de Planeación y Seguimiento de la Dirección Ejecutiva de Organización Electoral con base en la información muestral del Estudio de Participación Ciudadana 2021.</t>
  </si>
  <si>
    <t>Fuente: elaborado por la Dirección de Planeación y Seguimiento de la Dirección Ejecutiva de Organización Electoral con base en la información de la muestra del estudio de participación ciudadana 2021 y con información de los Indicadores de Bienestar por entidad federativa publicados por INEGI, disponibles en: https://www.inegi.org.mx/app/bienestar/#grafica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</si>
</sst>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43" formatCode="_-* #,##0.00_-;\-* #,##0.00_-;_-* &quot;-&quot;??_-;_-@_-"/>
    <numFmt numFmtId="164" formatCode="0.0"/>
    <numFmt numFmtId="165" formatCode="0.000"/>
    <numFmt numFmtId="166" formatCode="_-* #,##0.0_-;\-* #,##0.0_-;_-* &quot;-&quot;??_-;_-@_-"/>
    <numFmt numFmtId="167" formatCode="#,##0.0"/>
    <numFmt numFmtId="168" formatCode="_-* #,##0_-;\-* #,##0_-;_-* &quot;-&quot;??_-;_-@_-"/>
    <numFmt numFmtId="169" formatCode="0.0%"/>
    <numFmt numFmtId="170" formatCode="#,##0_ ;\-#,##0\ "/>
    <numFmt numFmtId="171" formatCode="#,##0.0_ ;\-#,##0.0\ "/>
    <numFmt numFmtId="172" formatCode="#,##0.0;[Black]#,##0.0"/>
    <numFmt numFmtId="173" formatCode="#,##0.0;[Black]#,##0"/>
    <numFmt numFmtId="174" formatCode="##"/>
  </numFmts>
  <fonts count="20" x14ac:knownFonts="1">
    <font>
      <sz val="8"/>
      <color theme="1"/>
      <name val="Arial"/>
      <family val="2"/>
    </font>
    <font>
      <b/>
      <sz val="8"/>
      <color theme="1"/>
      <name val="Arial"/>
      <family val="2"/>
    </font>
    <font>
      <sz val="10"/>
      <color theme="1"/>
      <name val="Arial"/>
      <family val="2"/>
    </font>
    <font>
      <b/>
      <sz val="10"/>
      <color theme="1"/>
      <name val="Arial"/>
      <family val="2"/>
    </font>
    <font>
      <sz val="12"/>
      <color theme="1"/>
      <name val="Arial"/>
      <family val="2"/>
    </font>
    <font>
      <b/>
      <sz val="12"/>
      <color theme="1"/>
      <name val="Arial"/>
      <family val="2"/>
    </font>
    <font>
      <b/>
      <sz val="10"/>
      <color theme="0"/>
      <name val="Arial"/>
      <family val="2"/>
    </font>
    <font>
      <sz val="8"/>
      <color theme="1"/>
      <name val="Arial"/>
      <family val="2"/>
    </font>
    <font>
      <b/>
      <sz val="8"/>
      <color theme="0"/>
      <name val="Arial"/>
      <family val="2"/>
    </font>
    <font>
      <sz val="11"/>
      <color theme="1"/>
      <name val="Calibri"/>
      <family val="2"/>
      <scheme val="minor"/>
    </font>
    <font>
      <b/>
      <sz val="8"/>
      <color rgb="FFD60093"/>
      <name val="Arial"/>
      <family val="2"/>
    </font>
    <font>
      <b/>
      <sz val="16"/>
      <color theme="1"/>
      <name val="Arial"/>
      <family val="2"/>
    </font>
    <font>
      <b/>
      <sz val="14"/>
      <color rgb="FFD60093"/>
      <name val="Arial"/>
      <family val="2"/>
    </font>
    <font>
      <b/>
      <sz val="8"/>
      <name val="Arial"/>
      <family val="2"/>
    </font>
    <font>
      <b/>
      <vertAlign val="superscript"/>
      <sz val="8"/>
      <name val="Arial"/>
      <family val="2"/>
    </font>
    <font>
      <sz val="8"/>
      <name val="Arial"/>
      <family val="2"/>
    </font>
    <font>
      <b/>
      <sz val="14"/>
      <color theme="1"/>
      <name val="Arial"/>
      <family val="2"/>
    </font>
    <font>
      <sz val="8"/>
      <color theme="0"/>
      <name val="Arial"/>
      <family val="2"/>
    </font>
    <font>
      <sz val="8"/>
      <color theme="1"/>
      <name val="Calibri"/>
      <family val="2"/>
      <scheme val="minor"/>
    </font>
    <font>
      <b/>
      <sz val="8"/>
      <color theme="1"/>
      <name val="Calibri"/>
      <family val="2"/>
      <scheme val="minor"/>
    </font>
  </fonts>
  <fills count="9">
    <fill>
      <patternFill patternType="none"/>
    </fill>
    <fill>
      <patternFill patternType="gray125"/>
    </fill>
    <fill>
      <patternFill patternType="solid">
        <fgColor rgb="FFD60093"/>
        <bgColor indexed="64"/>
      </patternFill>
    </fill>
    <fill>
      <patternFill patternType="solid">
        <fgColor rgb="FFD50075"/>
        <bgColor indexed="64"/>
      </patternFill>
    </fill>
    <fill>
      <patternFill patternType="solid">
        <fgColor theme="1"/>
        <bgColor indexed="64"/>
      </patternFill>
    </fill>
    <fill>
      <patternFill patternType="solid">
        <fgColor rgb="FFD4007F"/>
        <bgColor indexed="64"/>
      </patternFill>
    </fill>
    <fill>
      <patternFill patternType="solid">
        <fgColor theme="0"/>
        <bgColor indexed="64"/>
      </patternFill>
    </fill>
    <fill>
      <patternFill patternType="solid">
        <fgColor theme="9" tint="0.79998168889431442"/>
        <bgColor indexed="64"/>
      </patternFill>
    </fill>
    <fill>
      <patternFill patternType="solid">
        <fgColor theme="3" tint="0.79998168889431442"/>
        <bgColor indexed="64"/>
      </patternFill>
    </fill>
  </fills>
  <borders count="20">
    <border>
      <left/>
      <right/>
      <top/>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style="medium">
        <color indexed="64"/>
      </top>
      <bottom style="thin">
        <color theme="0"/>
      </bottom>
      <diagonal/>
    </border>
    <border>
      <left/>
      <right style="thin">
        <color theme="0"/>
      </right>
      <top style="medium">
        <color indexed="64"/>
      </top>
      <bottom style="thin">
        <color theme="0"/>
      </bottom>
      <diagonal/>
    </border>
    <border>
      <left style="thin">
        <color theme="0"/>
      </left>
      <right style="thin">
        <color theme="0"/>
      </right>
      <top style="medium">
        <color indexed="64"/>
      </top>
      <bottom style="thin">
        <color theme="0"/>
      </bottom>
      <diagonal/>
    </border>
    <border>
      <left style="thin">
        <color theme="0"/>
      </left>
      <right/>
      <top style="medium">
        <color indexed="64"/>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top style="thin">
        <color theme="0"/>
      </top>
      <bottom style="thin">
        <color indexed="64"/>
      </bottom>
      <diagonal/>
    </border>
    <border>
      <left/>
      <right style="thin">
        <color theme="0"/>
      </right>
      <top style="thin">
        <color theme="0"/>
      </top>
      <bottom style="thin">
        <color indexed="64"/>
      </bottom>
      <diagonal/>
    </border>
    <border>
      <left style="thin">
        <color theme="0"/>
      </left>
      <right style="thin">
        <color theme="0"/>
      </right>
      <top style="thin">
        <color theme="0"/>
      </top>
      <bottom style="thin">
        <color indexed="64"/>
      </bottom>
      <diagonal/>
    </border>
    <border>
      <left style="thin">
        <color theme="0"/>
      </left>
      <right/>
      <top style="thin">
        <color theme="0"/>
      </top>
      <bottom style="thin">
        <color indexed="64"/>
      </bottom>
      <diagonal/>
    </border>
    <border>
      <left/>
      <right/>
      <top/>
      <bottom style="medium">
        <color indexed="64"/>
      </bottom>
      <diagonal/>
    </border>
    <border>
      <left/>
      <right/>
      <top style="medium">
        <color auto="1"/>
      </top>
      <bottom style="medium">
        <color auto="1"/>
      </bottom>
      <diagonal/>
    </border>
    <border>
      <left/>
      <right/>
      <top style="medium">
        <color indexed="64"/>
      </top>
      <bottom/>
      <diagonal/>
    </border>
    <border>
      <left/>
      <right/>
      <top style="medium">
        <color auto="1"/>
      </top>
      <bottom style="thin">
        <color auto="1"/>
      </bottom>
      <diagonal/>
    </border>
  </borders>
  <cellStyleXfs count="5">
    <xf numFmtId="0" fontId="0" fillId="0" borderId="0"/>
    <xf numFmtId="0" fontId="7" fillId="0" borderId="0"/>
    <xf numFmtId="0" fontId="9" fillId="0" borderId="0"/>
    <xf numFmtId="43" fontId="7" fillId="0" borderId="0" applyFont="0" applyFill="0" applyBorder="0" applyAlignment="0" applyProtection="0"/>
    <xf numFmtId="9" fontId="7" fillId="0" borderId="0" applyFont="0" applyFill="0" applyBorder="0" applyAlignment="0" applyProtection="0"/>
  </cellStyleXfs>
  <cellXfs count="189">
    <xf numFmtId="0" fontId="0" fillId="0" borderId="0" xfId="0"/>
    <xf numFmtId="0" fontId="4" fillId="0" borderId="0" xfId="0" applyFont="1" applyAlignment="1">
      <alignment horizontal="left" wrapText="1"/>
    </xf>
    <xf numFmtId="0" fontId="0" fillId="0" borderId="0" xfId="0" applyAlignment="1">
      <alignment horizontal="left" wrapText="1"/>
    </xf>
    <xf numFmtId="0" fontId="0" fillId="0" borderId="0" xfId="0" applyAlignment="1">
      <alignment horizontal="center" wrapText="1"/>
    </xf>
    <xf numFmtId="0" fontId="0" fillId="0" borderId="0" xfId="0" applyAlignment="1">
      <alignment wrapText="1"/>
    </xf>
    <xf numFmtId="0" fontId="1" fillId="0" borderId="0" xfId="0" applyFont="1" applyAlignment="1">
      <alignment horizontal="left" wrapText="1"/>
    </xf>
    <xf numFmtId="0" fontId="3" fillId="0" borderId="0" xfId="0" applyFont="1" applyAlignment="1">
      <alignment horizontal="center" wrapText="1"/>
    </xf>
    <xf numFmtId="0" fontId="1" fillId="0" borderId="0" xfId="0" applyFont="1" applyAlignment="1">
      <alignment horizontal="center" wrapText="1"/>
    </xf>
    <xf numFmtId="0" fontId="1" fillId="0" borderId="0" xfId="0" applyFont="1" applyAlignment="1">
      <alignment wrapText="1"/>
    </xf>
    <xf numFmtId="0" fontId="3" fillId="0" borderId="0" xfId="0" applyFont="1" applyAlignment="1">
      <alignment horizontal="left" wrapText="1"/>
    </xf>
    <xf numFmtId="0" fontId="2" fillId="0" borderId="0" xfId="0" applyFont="1" applyAlignment="1">
      <alignment horizontal="left" wrapText="1"/>
    </xf>
    <xf numFmtId="0" fontId="2" fillId="0" borderId="0" xfId="0" applyFont="1" applyAlignment="1">
      <alignment wrapText="1"/>
    </xf>
    <xf numFmtId="0" fontId="2" fillId="0" borderId="0" xfId="0" applyFont="1" applyAlignment="1">
      <alignment horizontal="center" wrapText="1"/>
    </xf>
    <xf numFmtId="0" fontId="0" fillId="0" borderId="0" xfId="0" applyBorder="1" applyAlignment="1">
      <alignment horizontal="left" vertical="center" wrapText="1"/>
    </xf>
    <xf numFmtId="0" fontId="2" fillId="0" borderId="0" xfId="0" applyFont="1" applyBorder="1" applyAlignment="1">
      <alignment horizontal="left" wrapText="1"/>
    </xf>
    <xf numFmtId="0" fontId="2" fillId="0" borderId="0" xfId="0" applyFont="1" applyBorder="1" applyAlignment="1">
      <alignment horizontal="center" wrapText="1"/>
    </xf>
    <xf numFmtId="0" fontId="1" fillId="0" borderId="0" xfId="0" applyFont="1" applyBorder="1" applyAlignment="1">
      <alignment horizontal="left" vertical="center" wrapText="1"/>
    </xf>
    <xf numFmtId="0" fontId="0" fillId="0" borderId="0" xfId="0" applyAlignment="1">
      <alignment horizontal="center" vertical="center" wrapText="1"/>
    </xf>
    <xf numFmtId="0" fontId="0" fillId="0" borderId="0" xfId="0" applyAlignment="1">
      <alignment vertical="center" wrapText="1"/>
    </xf>
    <xf numFmtId="0" fontId="3" fillId="0" borderId="0" xfId="0" applyFont="1" applyBorder="1" applyAlignment="1">
      <alignment horizontal="left" wrapText="1"/>
    </xf>
    <xf numFmtId="0" fontId="3" fillId="0" borderId="0" xfId="0" applyFont="1" applyBorder="1" applyAlignment="1">
      <alignment horizontal="center" wrapText="1"/>
    </xf>
    <xf numFmtId="0" fontId="2" fillId="0" borderId="2" xfId="0" applyFont="1" applyBorder="1" applyAlignment="1">
      <alignment horizontal="left" wrapText="1"/>
    </xf>
    <xf numFmtId="0" fontId="2" fillId="0" borderId="2" xfId="0" applyFont="1" applyBorder="1" applyAlignment="1">
      <alignment horizontal="left" vertical="center" wrapText="1"/>
    </xf>
    <xf numFmtId="0" fontId="2" fillId="0" borderId="0" xfId="0" applyFont="1" applyBorder="1" applyAlignment="1">
      <alignment wrapText="1"/>
    </xf>
    <xf numFmtId="0" fontId="0" fillId="0" borderId="0" xfId="0" applyBorder="1" applyAlignment="1">
      <alignment horizontal="left" wrapText="1"/>
    </xf>
    <xf numFmtId="0" fontId="0" fillId="0" borderId="0" xfId="0" applyBorder="1" applyAlignment="1">
      <alignment horizontal="center" wrapText="1"/>
    </xf>
    <xf numFmtId="0" fontId="2" fillId="0" borderId="2" xfId="0" applyFont="1" applyBorder="1" applyAlignment="1">
      <alignment horizontal="center" wrapText="1"/>
    </xf>
    <xf numFmtId="0" fontId="3" fillId="0" borderId="2" xfId="0" applyFont="1" applyBorder="1" applyAlignment="1">
      <alignment horizontal="left" vertical="center" wrapText="1"/>
    </xf>
    <xf numFmtId="0" fontId="3" fillId="0" borderId="2" xfId="0" applyFont="1" applyBorder="1" applyAlignment="1">
      <alignment horizontal="left" wrapText="1"/>
    </xf>
    <xf numFmtId="0" fontId="2" fillId="0" borderId="2" xfId="0" applyFont="1" applyBorder="1" applyAlignment="1">
      <alignment horizontal="center" vertical="center" wrapText="1"/>
    </xf>
    <xf numFmtId="0" fontId="0" fillId="0" borderId="2" xfId="0" applyBorder="1" applyAlignment="1">
      <alignment horizontal="center" wrapText="1"/>
    </xf>
    <xf numFmtId="0" fontId="2" fillId="0" borderId="2" xfId="0" applyFont="1" applyBorder="1" applyAlignment="1">
      <alignment wrapText="1"/>
    </xf>
    <xf numFmtId="0" fontId="6" fillId="2" borderId="2" xfId="0" applyFont="1" applyFill="1" applyBorder="1" applyAlignment="1">
      <alignment horizontal="center" wrapText="1"/>
    </xf>
    <xf numFmtId="0" fontId="8" fillId="3" borderId="4" xfId="1" applyFont="1" applyFill="1" applyBorder="1" applyAlignment="1">
      <alignment horizontal="center" vertical="center" wrapText="1"/>
    </xf>
    <xf numFmtId="0" fontId="8" fillId="3" borderId="9" xfId="1" applyFont="1" applyFill="1" applyBorder="1" applyAlignment="1">
      <alignment horizontal="center" vertical="center" wrapText="1"/>
    </xf>
    <xf numFmtId="0" fontId="8" fillId="3" borderId="10" xfId="1" applyFont="1" applyFill="1" applyBorder="1" applyAlignment="1">
      <alignment horizontal="center" vertical="center" wrapText="1"/>
    </xf>
    <xf numFmtId="0" fontId="8" fillId="3" borderId="11" xfId="1" applyFont="1" applyFill="1" applyBorder="1" applyAlignment="1">
      <alignment horizontal="center" vertical="center" wrapText="1"/>
    </xf>
    <xf numFmtId="0" fontId="8" fillId="3" borderId="8" xfId="1" applyFont="1" applyFill="1" applyBorder="1" applyAlignment="1">
      <alignment horizontal="center" vertical="center" wrapText="1"/>
    </xf>
    <xf numFmtId="0" fontId="8" fillId="3" borderId="12" xfId="1" applyFont="1" applyFill="1" applyBorder="1" applyAlignment="1">
      <alignment horizontal="center"/>
    </xf>
    <xf numFmtId="0" fontId="8" fillId="3" borderId="13" xfId="1" applyFont="1" applyFill="1" applyBorder="1" applyAlignment="1">
      <alignment horizontal="center"/>
    </xf>
    <xf numFmtId="0" fontId="8" fillId="3" borderId="14" xfId="1" applyFont="1" applyFill="1" applyBorder="1" applyAlignment="1">
      <alignment horizontal="center"/>
    </xf>
    <xf numFmtId="0" fontId="8" fillId="3" borderId="15" xfId="1" applyFont="1" applyFill="1" applyBorder="1" applyAlignment="1">
      <alignment horizontal="center"/>
    </xf>
    <xf numFmtId="0" fontId="1" fillId="0" borderId="0" xfId="1" applyFont="1"/>
    <xf numFmtId="164" fontId="1" fillId="0" borderId="0" xfId="1" applyNumberFormat="1" applyFont="1"/>
    <xf numFmtId="3" fontId="1" fillId="0" borderId="0" xfId="1" applyNumberFormat="1" applyFont="1"/>
    <xf numFmtId="165" fontId="1" fillId="0" borderId="0" xfId="1" applyNumberFormat="1" applyFont="1"/>
    <xf numFmtId="0" fontId="7" fillId="0" borderId="0" xfId="1"/>
    <xf numFmtId="164" fontId="7" fillId="0" borderId="0" xfId="1" applyNumberFormat="1"/>
    <xf numFmtId="3" fontId="7" fillId="0" borderId="0" xfId="1" applyNumberFormat="1"/>
    <xf numFmtId="165" fontId="7" fillId="0" borderId="0" xfId="1" applyNumberFormat="1"/>
    <xf numFmtId="0" fontId="1" fillId="0" borderId="0" xfId="2" applyFont="1"/>
    <xf numFmtId="0" fontId="1" fillId="0" borderId="0" xfId="2" applyFont="1" applyAlignment="1">
      <alignment horizontal="center"/>
    </xf>
    <xf numFmtId="0" fontId="7" fillId="0" borderId="0" xfId="2" applyFont="1" applyAlignment="1">
      <alignment horizontal="center"/>
    </xf>
    <xf numFmtId="164" fontId="7" fillId="0" borderId="0" xfId="2" applyNumberFormat="1" applyFont="1"/>
    <xf numFmtId="0" fontId="7" fillId="0" borderId="0" xfId="2" applyFont="1"/>
    <xf numFmtId="164" fontId="1" fillId="0" borderId="0" xfId="2" applyNumberFormat="1" applyFont="1"/>
    <xf numFmtId="0" fontId="0" fillId="0" borderId="0" xfId="0" applyAlignment="1">
      <alignment horizontal="center" vertical="center" wrapText="1"/>
    </xf>
    <xf numFmtId="2" fontId="0" fillId="0" borderId="0" xfId="0" applyNumberFormat="1" applyAlignment="1">
      <alignment vertical="center" wrapText="1"/>
    </xf>
    <xf numFmtId="3" fontId="0" fillId="0" borderId="0" xfId="0" applyNumberFormat="1" applyAlignment="1">
      <alignment vertical="center" wrapText="1"/>
    </xf>
    <xf numFmtId="4" fontId="0" fillId="0" borderId="0" xfId="0" applyNumberFormat="1" applyAlignment="1">
      <alignment vertical="center" wrapText="1"/>
    </xf>
    <xf numFmtId="164" fontId="0" fillId="0" borderId="0" xfId="0" applyNumberFormat="1" applyAlignment="1">
      <alignment vertical="center" wrapText="1"/>
    </xf>
    <xf numFmtId="166" fontId="0" fillId="0" borderId="0" xfId="3" applyNumberFormat="1" applyFont="1" applyAlignment="1">
      <alignment horizontal="left" vertical="center"/>
    </xf>
    <xf numFmtId="0" fontId="1" fillId="0" borderId="0" xfId="0" applyFont="1" applyAlignment="1">
      <alignment vertical="center"/>
    </xf>
    <xf numFmtId="0" fontId="0" fillId="0" borderId="0" xfId="0" applyAlignment="1">
      <alignment vertical="center"/>
    </xf>
    <xf numFmtId="167" fontId="0" fillId="0" borderId="0" xfId="0" applyNumberFormat="1" applyAlignment="1">
      <alignment vertical="center" wrapText="1"/>
    </xf>
    <xf numFmtId="0" fontId="0" fillId="0" borderId="0" xfId="0" applyAlignment="1">
      <alignment horizontal="center" vertical="center"/>
    </xf>
    <xf numFmtId="168" fontId="0" fillId="0" borderId="0" xfId="3" applyNumberFormat="1" applyFont="1" applyAlignment="1">
      <alignment horizontal="left" vertical="center"/>
    </xf>
    <xf numFmtId="0" fontId="1" fillId="0" borderId="0" xfId="0" applyFont="1" applyAlignment="1">
      <alignment horizontal="center" vertical="center"/>
    </xf>
    <xf numFmtId="0" fontId="10" fillId="0" borderId="0" xfId="0" applyFont="1" applyAlignment="1">
      <alignment horizontal="center" vertical="center"/>
    </xf>
    <xf numFmtId="168" fontId="11" fillId="0" borderId="0" xfId="3" applyNumberFormat="1" applyFont="1" applyAlignment="1">
      <alignment horizontal="left" vertical="center"/>
    </xf>
    <xf numFmtId="168" fontId="0" fillId="0" borderId="0" xfId="0" applyNumberFormat="1" applyAlignment="1">
      <alignment vertical="center"/>
    </xf>
    <xf numFmtId="0" fontId="12" fillId="0" borderId="0" xfId="0" applyFont="1" applyAlignment="1">
      <alignment horizontal="right" vertical="center"/>
    </xf>
    <xf numFmtId="0" fontId="13" fillId="0" borderId="0" xfId="0" applyFont="1" applyAlignment="1">
      <alignment horizontal="right" vertical="center"/>
    </xf>
    <xf numFmtId="169" fontId="0" fillId="0" borderId="0" xfId="0" applyNumberFormat="1" applyAlignment="1">
      <alignment horizontal="center" vertical="center"/>
    </xf>
    <xf numFmtId="169" fontId="0" fillId="0" borderId="0" xfId="4" applyNumberFormat="1" applyFont="1" applyAlignment="1">
      <alignment horizontal="center" vertical="center"/>
    </xf>
    <xf numFmtId="0" fontId="0" fillId="0" borderId="0" xfId="3" applyNumberFormat="1" applyFont="1" applyAlignment="1">
      <alignment horizontal="center" vertical="center"/>
    </xf>
    <xf numFmtId="0" fontId="1" fillId="0" borderId="0" xfId="0" applyFont="1" applyAlignment="1">
      <alignment horizontal="right" vertical="center"/>
    </xf>
    <xf numFmtId="0" fontId="0" fillId="0" borderId="0" xfId="0" applyNumberFormat="1" applyAlignment="1">
      <alignment horizontal="center" vertical="center"/>
    </xf>
    <xf numFmtId="0" fontId="0" fillId="4" borderId="0" xfId="0" applyFill="1" applyAlignment="1">
      <alignment vertical="center"/>
    </xf>
    <xf numFmtId="168" fontId="11" fillId="4" borderId="0" xfId="3" applyNumberFormat="1" applyFont="1" applyFill="1" applyAlignment="1">
      <alignment horizontal="left" vertical="center"/>
    </xf>
    <xf numFmtId="0" fontId="1" fillId="4" borderId="0" xfId="0" applyFont="1" applyFill="1" applyAlignment="1">
      <alignment horizontal="center" vertical="center"/>
    </xf>
    <xf numFmtId="170" fontId="0" fillId="0" borderId="0" xfId="3" applyNumberFormat="1" applyFont="1" applyAlignment="1">
      <alignment horizontal="center" vertical="center"/>
    </xf>
    <xf numFmtId="171" fontId="0" fillId="0" borderId="0" xfId="3" applyNumberFormat="1" applyFont="1" applyAlignment="1">
      <alignment horizontal="center" vertical="center"/>
    </xf>
    <xf numFmtId="0" fontId="0" fillId="0" borderId="16" xfId="0" applyBorder="1" applyAlignment="1">
      <alignment vertical="center"/>
    </xf>
    <xf numFmtId="0" fontId="0" fillId="4" borderId="16" xfId="0" applyFill="1" applyBorder="1" applyAlignment="1">
      <alignment vertical="center"/>
    </xf>
    <xf numFmtId="0" fontId="10" fillId="0" borderId="16" xfId="0" applyFont="1" applyBorder="1" applyAlignment="1">
      <alignment horizontal="center" vertical="center"/>
    </xf>
    <xf numFmtId="0" fontId="10" fillId="0" borderId="0" xfId="0" applyFont="1" applyBorder="1" applyAlignment="1">
      <alignment vertical="center"/>
    </xf>
    <xf numFmtId="0" fontId="0" fillId="0" borderId="0" xfId="0" applyBorder="1" applyAlignment="1">
      <alignment vertical="center"/>
    </xf>
    <xf numFmtId="0" fontId="0" fillId="4" borderId="0" xfId="0" applyFill="1" applyBorder="1" applyAlignment="1">
      <alignment vertical="center"/>
    </xf>
    <xf numFmtId="0" fontId="10" fillId="0" borderId="0" xfId="0" applyFont="1" applyBorder="1" applyAlignment="1">
      <alignment horizontal="center" vertical="center"/>
    </xf>
    <xf numFmtId="164" fontId="0" fillId="0" borderId="0" xfId="3" applyNumberFormat="1" applyFont="1" applyAlignment="1">
      <alignment horizontal="center" vertical="center"/>
    </xf>
    <xf numFmtId="164" fontId="16" fillId="0" borderId="0" xfId="3" applyNumberFormat="1" applyFont="1" applyAlignment="1">
      <alignment horizontal="center" vertical="center"/>
    </xf>
    <xf numFmtId="0" fontId="16" fillId="0" borderId="0" xfId="3" applyNumberFormat="1" applyFont="1" applyAlignment="1">
      <alignment horizontal="center" vertical="center"/>
    </xf>
    <xf numFmtId="0" fontId="1" fillId="0" borderId="0" xfId="0" applyFont="1" applyAlignment="1">
      <alignment horizontal="center" vertical="center"/>
    </xf>
    <xf numFmtId="0" fontId="10" fillId="0" borderId="16" xfId="0" applyFont="1" applyBorder="1" applyAlignment="1">
      <alignment horizontal="center" vertical="center"/>
    </xf>
    <xf numFmtId="0" fontId="1" fillId="0" borderId="0" xfId="2" applyFont="1" applyAlignment="1">
      <alignment horizontal="center"/>
    </xf>
    <xf numFmtId="0" fontId="10" fillId="0" borderId="16" xfId="0" applyFont="1" applyBorder="1" applyAlignment="1">
      <alignment horizontal="center" vertical="center"/>
    </xf>
    <xf numFmtId="0" fontId="0" fillId="0" borderId="0" xfId="0" applyAlignment="1">
      <alignment horizontal="center" vertical="center" wrapText="1"/>
    </xf>
    <xf numFmtId="0" fontId="8" fillId="3" borderId="4" xfId="1" applyFont="1" applyFill="1" applyBorder="1" applyAlignment="1">
      <alignment horizontal="center" vertical="center" wrapText="1"/>
    </xf>
    <xf numFmtId="0" fontId="8" fillId="3" borderId="8" xfId="1" applyFont="1" applyFill="1" applyBorder="1" applyAlignment="1">
      <alignment horizontal="center" vertical="center" wrapText="1"/>
    </xf>
    <xf numFmtId="0" fontId="0" fillId="0" borderId="0" xfId="0" applyAlignment="1">
      <alignment horizontal="left" vertical="center"/>
    </xf>
    <xf numFmtId="0" fontId="17" fillId="2" borderId="17" xfId="0" applyFont="1" applyFill="1" applyBorder="1" applyAlignment="1">
      <alignment horizontal="left" vertical="center" wrapText="1"/>
    </xf>
    <xf numFmtId="0" fontId="17" fillId="2" borderId="17" xfId="0" applyFont="1" applyFill="1" applyBorder="1" applyAlignment="1">
      <alignment horizontal="center" vertical="center"/>
    </xf>
    <xf numFmtId="0" fontId="13" fillId="0" borderId="0" xfId="0" applyFont="1" applyAlignment="1">
      <alignment horizontal="right" vertical="center"/>
    </xf>
    <xf numFmtId="171" fontId="1" fillId="0" borderId="0" xfId="3" applyNumberFormat="1" applyFont="1" applyAlignment="1">
      <alignment horizontal="center" vertical="center"/>
    </xf>
    <xf numFmtId="171" fontId="3" fillId="0" borderId="0" xfId="3" applyNumberFormat="1" applyFont="1" applyAlignment="1">
      <alignment horizontal="center" vertical="center"/>
    </xf>
    <xf numFmtId="0" fontId="8" fillId="5" borderId="18" xfId="2" applyFont="1" applyFill="1" applyBorder="1" applyAlignment="1">
      <alignment horizontal="left" vertical="center" wrapText="1"/>
    </xf>
    <xf numFmtId="0" fontId="8" fillId="5" borderId="4" xfId="2" applyFont="1" applyFill="1" applyBorder="1" applyAlignment="1">
      <alignment horizontal="center" vertical="center"/>
    </xf>
    <xf numFmtId="0" fontId="8" fillId="5" borderId="4" xfId="2" applyFont="1" applyFill="1" applyBorder="1" applyAlignment="1">
      <alignment horizontal="center" vertical="center" wrapText="1"/>
    </xf>
    <xf numFmtId="0" fontId="8" fillId="6" borderId="0" xfId="2" applyFont="1" applyFill="1" applyAlignment="1">
      <alignment horizontal="left" vertical="center"/>
    </xf>
    <xf numFmtId="0" fontId="8" fillId="6" borderId="0" xfId="2" applyFont="1" applyFill="1" applyAlignment="1">
      <alignment horizontal="right" vertical="center"/>
    </xf>
    <xf numFmtId="0" fontId="1" fillId="6" borderId="0" xfId="2" applyFont="1" applyFill="1" applyAlignment="1">
      <alignment vertical="center"/>
    </xf>
    <xf numFmtId="164" fontId="1" fillId="6" borderId="0" xfId="2" applyNumberFormat="1" applyFont="1" applyFill="1" applyAlignment="1">
      <alignment horizontal="right" vertical="center"/>
    </xf>
    <xf numFmtId="0" fontId="1" fillId="0" borderId="0" xfId="2" applyFont="1" applyAlignment="1">
      <alignment vertical="center"/>
    </xf>
    <xf numFmtId="164" fontId="1" fillId="0" borderId="0" xfId="2" applyNumberFormat="1" applyFont="1" applyAlignment="1">
      <alignment horizontal="right" vertical="center"/>
    </xf>
    <xf numFmtId="0" fontId="7" fillId="0" borderId="0" xfId="2" applyFont="1" applyAlignment="1">
      <alignment horizontal="left" vertical="center"/>
    </xf>
    <xf numFmtId="164" fontId="7" fillId="0" borderId="0" xfId="2" applyNumberFormat="1" applyFont="1" applyAlignment="1">
      <alignment horizontal="right" vertical="center"/>
    </xf>
    <xf numFmtId="0" fontId="1" fillId="6" borderId="16" xfId="2" applyFont="1" applyFill="1" applyBorder="1" applyAlignment="1">
      <alignment vertical="center"/>
    </xf>
    <xf numFmtId="0" fontId="0" fillId="0" borderId="0" xfId="0" applyFont="1" applyAlignment="1">
      <alignment vertical="center"/>
    </xf>
    <xf numFmtId="168" fontId="1" fillId="0" borderId="0" xfId="3" applyNumberFormat="1" applyFont="1" applyAlignment="1">
      <alignment horizontal="left" vertical="center"/>
    </xf>
    <xf numFmtId="168" fontId="1" fillId="4" borderId="0" xfId="3" applyNumberFormat="1" applyFont="1" applyFill="1" applyAlignment="1">
      <alignment horizontal="left" vertical="center"/>
    </xf>
    <xf numFmtId="168" fontId="0" fillId="0" borderId="0" xfId="0" applyNumberFormat="1" applyFont="1" applyAlignment="1">
      <alignment vertical="center"/>
    </xf>
    <xf numFmtId="0" fontId="0" fillId="4" borderId="0" xfId="0" applyFont="1" applyFill="1" applyAlignment="1">
      <alignment vertical="center"/>
    </xf>
    <xf numFmtId="168" fontId="1" fillId="0" borderId="0" xfId="3" applyNumberFormat="1" applyFont="1" applyAlignment="1">
      <alignment horizontal="center" vertical="center"/>
    </xf>
    <xf numFmtId="0" fontId="1" fillId="6" borderId="0" xfId="2" applyFont="1" applyFill="1" applyBorder="1" applyAlignment="1">
      <alignment vertical="center"/>
    </xf>
    <xf numFmtId="0" fontId="1" fillId="0" borderId="0" xfId="0" applyFont="1" applyAlignment="1">
      <alignment horizontal="left" vertical="center"/>
    </xf>
    <xf numFmtId="166" fontId="1" fillId="0" borderId="0" xfId="3" applyNumberFormat="1" applyFont="1" applyAlignment="1">
      <alignment horizontal="left" vertical="center"/>
    </xf>
    <xf numFmtId="171" fontId="7" fillId="0" borderId="0" xfId="3" applyNumberFormat="1" applyFont="1" applyAlignment="1">
      <alignment horizontal="center" vertical="center"/>
    </xf>
    <xf numFmtId="0" fontId="0" fillId="4" borderId="0" xfId="0" applyFill="1" applyAlignment="1">
      <alignment vertical="center" wrapText="1"/>
    </xf>
    <xf numFmtId="0" fontId="17" fillId="2" borderId="19" xfId="0" applyFont="1" applyFill="1" applyBorder="1" applyAlignment="1">
      <alignment horizontal="center" vertical="center" wrapText="1"/>
    </xf>
    <xf numFmtId="0" fontId="0" fillId="0" borderId="0" xfId="0" applyAlignment="1">
      <alignment horizontal="left" vertical="center" wrapText="1"/>
    </xf>
    <xf numFmtId="170" fontId="7" fillId="0" borderId="0" xfId="3" applyNumberFormat="1" applyFont="1" applyAlignment="1">
      <alignment horizontal="center" vertical="center"/>
    </xf>
    <xf numFmtId="164" fontId="0" fillId="0" borderId="0" xfId="4" applyNumberFormat="1" applyFont="1" applyAlignment="1">
      <alignment horizontal="center" vertical="center"/>
    </xf>
    <xf numFmtId="1" fontId="0" fillId="0" borderId="0" xfId="4" applyNumberFormat="1" applyFont="1" applyAlignment="1">
      <alignment horizontal="center" vertical="center"/>
    </xf>
    <xf numFmtId="164" fontId="0" fillId="0" borderId="0" xfId="4" applyNumberFormat="1" applyFont="1" applyAlignment="1">
      <alignment horizontal="left" vertical="center" wrapText="1"/>
    </xf>
    <xf numFmtId="164" fontId="0" fillId="0" borderId="0" xfId="4" applyNumberFormat="1" applyFont="1" applyAlignment="1">
      <alignment vertical="center" wrapText="1"/>
    </xf>
    <xf numFmtId="0" fontId="13" fillId="0" borderId="0" xfId="0" applyFont="1" applyAlignment="1">
      <alignment horizontal="center" vertical="center"/>
    </xf>
    <xf numFmtId="164" fontId="0" fillId="0" borderId="0" xfId="4" applyNumberFormat="1" applyFont="1" applyAlignment="1">
      <alignment horizontal="left" vertical="center" wrapText="1"/>
    </xf>
    <xf numFmtId="0" fontId="13" fillId="0" borderId="0" xfId="0" applyFont="1" applyAlignment="1">
      <alignment horizontal="right" vertical="center"/>
    </xf>
    <xf numFmtId="168" fontId="0" fillId="0" borderId="0" xfId="3" applyNumberFormat="1" applyFont="1" applyAlignment="1">
      <alignment vertical="center" wrapText="1"/>
    </xf>
    <xf numFmtId="172" fontId="0" fillId="0" borderId="0" xfId="3" applyNumberFormat="1" applyFont="1" applyAlignment="1">
      <alignment horizontal="left" vertical="center"/>
    </xf>
    <xf numFmtId="172" fontId="0" fillId="0" borderId="0" xfId="0" applyNumberFormat="1" applyAlignment="1">
      <alignment vertical="center"/>
    </xf>
    <xf numFmtId="172" fontId="0" fillId="0" borderId="0" xfId="3" applyNumberFormat="1" applyFont="1" applyAlignment="1">
      <alignment horizontal="right" vertical="center"/>
    </xf>
    <xf numFmtId="172" fontId="0" fillId="0" borderId="0" xfId="0" applyNumberFormat="1" applyAlignment="1">
      <alignment horizontal="right" vertical="center"/>
    </xf>
    <xf numFmtId="173" fontId="0" fillId="0" borderId="0" xfId="3" applyNumberFormat="1" applyFont="1" applyAlignment="1">
      <alignment horizontal="left" vertical="center"/>
    </xf>
    <xf numFmtId="3" fontId="0" fillId="0" borderId="0" xfId="3" applyNumberFormat="1" applyFont="1" applyAlignment="1">
      <alignment horizontal="left" vertical="center"/>
    </xf>
    <xf numFmtId="0" fontId="13" fillId="0" borderId="0" xfId="0" applyFont="1" applyAlignment="1">
      <alignment vertical="center"/>
    </xf>
    <xf numFmtId="0" fontId="13" fillId="0" borderId="0" xfId="0" applyFont="1" applyAlignment="1">
      <alignment vertical="center" wrapText="1"/>
    </xf>
    <xf numFmtId="0" fontId="0" fillId="0" borderId="0" xfId="0" applyAlignment="1">
      <alignment horizontal="right" vertical="center"/>
    </xf>
    <xf numFmtId="174" fontId="7" fillId="0" borderId="0" xfId="3" applyNumberFormat="1" applyFont="1" applyAlignment="1">
      <alignment horizontal="center" vertical="center"/>
    </xf>
    <xf numFmtId="0" fontId="0" fillId="0" borderId="0" xfId="0" applyAlignment="1" applyProtection="1">
      <alignment vertical="center"/>
      <protection locked="0"/>
    </xf>
    <xf numFmtId="164" fontId="18" fillId="7" borderId="0" xfId="0" applyNumberFormat="1" applyFont="1" applyFill="1"/>
    <xf numFmtId="164" fontId="19" fillId="7" borderId="0" xfId="0" applyNumberFormat="1" applyFont="1" applyFill="1"/>
    <xf numFmtId="164" fontId="19" fillId="0" borderId="0" xfId="0" applyNumberFormat="1" applyFont="1"/>
    <xf numFmtId="164" fontId="19" fillId="6" borderId="0" xfId="0" applyNumberFormat="1" applyFont="1" applyFill="1"/>
    <xf numFmtId="164" fontId="7" fillId="7" borderId="0" xfId="2" applyNumberFormat="1" applyFont="1" applyFill="1"/>
    <xf numFmtId="164" fontId="1" fillId="7" borderId="0" xfId="2" applyNumberFormat="1" applyFont="1" applyFill="1"/>
    <xf numFmtId="164" fontId="1" fillId="8" borderId="0" xfId="2" applyNumberFormat="1" applyFont="1" applyFill="1"/>
    <xf numFmtId="0" fontId="0" fillId="0" borderId="0" xfId="0" applyAlignment="1">
      <alignment horizontal="left" vertical="center" wrapText="1"/>
    </xf>
    <xf numFmtId="0" fontId="1" fillId="0" borderId="0" xfId="0" applyFont="1" applyAlignment="1">
      <alignment horizontal="right" vertical="center"/>
    </xf>
    <xf numFmtId="0" fontId="13" fillId="0" borderId="0" xfId="0" applyFont="1" applyAlignment="1">
      <alignment horizontal="right" vertical="center" wrapText="1"/>
    </xf>
    <xf numFmtId="0" fontId="13" fillId="0" borderId="0" xfId="0" applyFont="1" applyAlignment="1">
      <alignment horizontal="right" vertical="center"/>
    </xf>
    <xf numFmtId="0" fontId="15" fillId="0" borderId="0" xfId="0" applyFont="1" applyAlignment="1">
      <alignment horizontal="left" vertical="center" wrapText="1"/>
    </xf>
    <xf numFmtId="164" fontId="0" fillId="0" borderId="0" xfId="4" applyNumberFormat="1" applyFont="1" applyAlignment="1">
      <alignment horizontal="left" vertical="center" wrapText="1"/>
    </xf>
    <xf numFmtId="0" fontId="10" fillId="0" borderId="16" xfId="0" applyFont="1" applyBorder="1" applyAlignment="1">
      <alignment horizontal="center" vertical="center"/>
    </xf>
    <xf numFmtId="0" fontId="17" fillId="2" borderId="19" xfId="0" applyFont="1" applyFill="1" applyBorder="1" applyAlignment="1">
      <alignment horizontal="center" vertical="center" wrapText="1"/>
    </xf>
    <xf numFmtId="0" fontId="15" fillId="0" borderId="0" xfId="0" applyFont="1" applyAlignment="1">
      <alignment horizontal="right" vertical="center" wrapText="1"/>
    </xf>
    <xf numFmtId="168" fontId="11" fillId="0" borderId="0" xfId="3" applyNumberFormat="1" applyFont="1" applyAlignment="1">
      <alignment horizontal="center" vertical="center"/>
    </xf>
    <xf numFmtId="0" fontId="1" fillId="0" borderId="0" xfId="0" applyFont="1" applyAlignment="1">
      <alignment horizontal="right" vertical="center" wrapText="1"/>
    </xf>
    <xf numFmtId="0" fontId="1" fillId="0" borderId="0" xfId="0" applyFont="1" applyAlignment="1">
      <alignment horizontal="center" vertical="center"/>
    </xf>
    <xf numFmtId="164" fontId="1" fillId="0" borderId="0" xfId="3" applyNumberFormat="1" applyFont="1" applyAlignment="1">
      <alignment horizontal="center" vertical="center"/>
    </xf>
    <xf numFmtId="168" fontId="11" fillId="0" borderId="0" xfId="3" applyNumberFormat="1" applyFont="1" applyAlignment="1">
      <alignment horizontal="left" vertical="center"/>
    </xf>
    <xf numFmtId="0" fontId="0" fillId="0" borderId="0" xfId="0" applyAlignment="1">
      <alignment horizontal="center" vertical="center" wrapText="1"/>
    </xf>
    <xf numFmtId="164" fontId="1" fillId="0" borderId="0" xfId="2" applyNumberFormat="1" applyFont="1" applyAlignment="1">
      <alignment horizontal="center"/>
    </xf>
    <xf numFmtId="0" fontId="1" fillId="0" borderId="0" xfId="2" applyFont="1" applyAlignment="1">
      <alignment horizontal="center"/>
    </xf>
    <xf numFmtId="0" fontId="8" fillId="3" borderId="5" xfId="1" applyFont="1" applyFill="1" applyBorder="1" applyAlignment="1">
      <alignment horizontal="center" vertical="center" wrapText="1"/>
    </xf>
    <xf numFmtId="0" fontId="8" fillId="3" borderId="6" xfId="1" applyFont="1" applyFill="1" applyBorder="1" applyAlignment="1">
      <alignment horizontal="center" vertical="center" wrapText="1"/>
    </xf>
    <xf numFmtId="0" fontId="8" fillId="3" borderId="7" xfId="1" applyFont="1" applyFill="1" applyBorder="1" applyAlignment="1">
      <alignment horizontal="center" vertical="center" wrapText="1"/>
    </xf>
    <xf numFmtId="0" fontId="8" fillId="3" borderId="4" xfId="1" applyFont="1" applyFill="1" applyBorder="1" applyAlignment="1">
      <alignment horizontal="center" vertical="center" wrapText="1"/>
    </xf>
    <xf numFmtId="0" fontId="8" fillId="3" borderId="8" xfId="1" applyFont="1" applyFill="1" applyBorder="1" applyAlignment="1">
      <alignment horizontal="center" vertical="center" wrapText="1"/>
    </xf>
    <xf numFmtId="0" fontId="3" fillId="0" borderId="2" xfId="0" applyFont="1" applyBorder="1" applyAlignment="1">
      <alignment horizontal="center" vertical="center" wrapText="1"/>
    </xf>
    <xf numFmtId="0" fontId="3" fillId="0" borderId="2" xfId="0" applyFont="1" applyBorder="1" applyAlignment="1">
      <alignment horizontal="left" vertical="center" wrapText="1"/>
    </xf>
    <xf numFmtId="0" fontId="0" fillId="0" borderId="2" xfId="0" applyBorder="1" applyAlignment="1">
      <alignment horizontal="left" vertical="center" wrapText="1"/>
    </xf>
    <xf numFmtId="0" fontId="2" fillId="0" borderId="2" xfId="0" applyFont="1" applyBorder="1" applyAlignment="1">
      <alignment horizontal="left" vertical="center" wrapText="1"/>
    </xf>
    <xf numFmtId="0" fontId="3" fillId="0" borderId="1" xfId="0" applyFont="1" applyBorder="1" applyAlignment="1">
      <alignment horizontal="left" vertical="center" wrapText="1"/>
    </xf>
    <xf numFmtId="0" fontId="3" fillId="0" borderId="3" xfId="0" applyFont="1" applyBorder="1" applyAlignment="1">
      <alignment horizontal="left" vertical="center" wrapText="1"/>
    </xf>
    <xf numFmtId="0" fontId="5" fillId="0" borderId="0" xfId="0" applyFont="1" applyAlignment="1">
      <alignment horizontal="left" wrapText="1"/>
    </xf>
    <xf numFmtId="0" fontId="3" fillId="0" borderId="0" xfId="0" applyFont="1" applyBorder="1" applyAlignment="1">
      <alignment horizontal="left" vertical="center" wrapText="1"/>
    </xf>
    <xf numFmtId="0" fontId="0" fillId="0" borderId="2" xfId="0" applyBorder="1" applyAlignment="1">
      <alignment horizontal="center" vertical="center" wrapText="1"/>
    </xf>
  </cellXfs>
  <cellStyles count="5">
    <cellStyle name="Millares" xfId="3" builtinId="3"/>
    <cellStyle name="Normal" xfId="0" builtinId="0"/>
    <cellStyle name="Normal 2" xfId="2" xr:uid="{E80376E3-1EB5-43F9-9CA5-B197D949932D}"/>
    <cellStyle name="Normal 4" xfId="1" xr:uid="{4A7DD3EF-54D5-4D8D-A035-D0524B03CB13}"/>
    <cellStyle name="Porcentaje" xfId="4" builtinId="5"/>
  </cellStyles>
  <dxfs count="0"/>
  <tableStyles count="0" defaultTableStyle="TableStyleMedium2" defaultPivotStyle="PivotStyleLight16"/>
  <colors>
    <mruColors>
      <color rgb="FFD60093"/>
      <color rgb="FFCC00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458203101520707"/>
          <c:y val="3.9341917024320459E-2"/>
          <c:w val="0.78099388867904429"/>
          <c:h val="0.81363646604260309"/>
        </c:manualLayout>
      </c:layout>
      <c:barChart>
        <c:barDir val="bar"/>
        <c:grouping val="stacked"/>
        <c:varyColors val="0"/>
        <c:ser>
          <c:idx val="0"/>
          <c:order val="0"/>
          <c:tx>
            <c:strRef>
              <c:f>Monografía!$G$47</c:f>
              <c:strCache>
                <c:ptCount val="1"/>
                <c:pt idx="0">
                  <c:v>Mujeres</c:v>
                </c:pt>
              </c:strCache>
            </c:strRef>
          </c:tx>
          <c:spPr>
            <a:solidFill>
              <a:srgbClr val="D60093"/>
            </a:solidFill>
            <a:ln>
              <a:noFill/>
            </a:ln>
            <a:effectLst/>
          </c:spPr>
          <c:invertIfNegative val="0"/>
          <c:cat>
            <c:strRef>
              <c:f>Monografía!$F$49:$F$66</c:f>
              <c:strCache>
                <c:ptCount val="18"/>
                <c:pt idx="0">
                  <c:v>0 a 4</c:v>
                </c:pt>
                <c:pt idx="1">
                  <c:v>5 a 9</c:v>
                </c:pt>
                <c:pt idx="2">
                  <c:v>10 a 14</c:v>
                </c:pt>
                <c:pt idx="3">
                  <c:v>15 a 19</c:v>
                </c:pt>
                <c:pt idx="4">
                  <c:v>20 a 24</c:v>
                </c:pt>
                <c:pt idx="5">
                  <c:v>25 a 29</c:v>
                </c:pt>
                <c:pt idx="6">
                  <c:v>30 a 34</c:v>
                </c:pt>
                <c:pt idx="7">
                  <c:v>35 a 39</c:v>
                </c:pt>
                <c:pt idx="8">
                  <c:v>40 a 44</c:v>
                </c:pt>
                <c:pt idx="9">
                  <c:v>45 a 49</c:v>
                </c:pt>
                <c:pt idx="10">
                  <c:v>50 a 54</c:v>
                </c:pt>
                <c:pt idx="11">
                  <c:v>55 a 59</c:v>
                </c:pt>
                <c:pt idx="12">
                  <c:v>60 a 64</c:v>
                </c:pt>
                <c:pt idx="13">
                  <c:v>65 a 69</c:v>
                </c:pt>
                <c:pt idx="14">
                  <c:v>70 a 74</c:v>
                </c:pt>
                <c:pt idx="15">
                  <c:v>75 a 79</c:v>
                </c:pt>
                <c:pt idx="16">
                  <c:v>80 a 84</c:v>
                </c:pt>
                <c:pt idx="17">
                  <c:v>85 y más</c:v>
                </c:pt>
              </c:strCache>
            </c:strRef>
          </c:cat>
          <c:val>
            <c:numRef>
              <c:f>Monografía!$G$49:$G$66</c:f>
              <c:numCache>
                <c:formatCode>#,##0.0;[Black]#,##0</c:formatCode>
                <c:ptCount val="18"/>
                <c:pt idx="0">
                  <c:v>-61452</c:v>
                </c:pt>
                <c:pt idx="1">
                  <c:v>-64689</c:v>
                </c:pt>
                <c:pt idx="2">
                  <c:v>-63637</c:v>
                </c:pt>
                <c:pt idx="3">
                  <c:v>-65064</c:v>
                </c:pt>
                <c:pt idx="4">
                  <c:v>-63866</c:v>
                </c:pt>
                <c:pt idx="5">
                  <c:v>-60285</c:v>
                </c:pt>
                <c:pt idx="6">
                  <c:v>-55174</c:v>
                </c:pt>
                <c:pt idx="7">
                  <c:v>-51483</c:v>
                </c:pt>
                <c:pt idx="8">
                  <c:v>-48539</c:v>
                </c:pt>
                <c:pt idx="9">
                  <c:v>-44506</c:v>
                </c:pt>
                <c:pt idx="10">
                  <c:v>-39510</c:v>
                </c:pt>
                <c:pt idx="11">
                  <c:v>-31257</c:v>
                </c:pt>
                <c:pt idx="12">
                  <c:v>-25871</c:v>
                </c:pt>
                <c:pt idx="13">
                  <c:v>-19125</c:v>
                </c:pt>
                <c:pt idx="14">
                  <c:v>-13804</c:v>
                </c:pt>
                <c:pt idx="15">
                  <c:v>-8842</c:v>
                </c:pt>
                <c:pt idx="16">
                  <c:v>-5789</c:v>
                </c:pt>
                <c:pt idx="17">
                  <c:v>-5272</c:v>
                </c:pt>
              </c:numCache>
            </c:numRef>
          </c:val>
          <c:extLst>
            <c:ext xmlns:c16="http://schemas.microsoft.com/office/drawing/2014/chart" uri="{C3380CC4-5D6E-409C-BE32-E72D297353CC}">
              <c16:uniqueId val="{00000000-2118-4181-B055-5FE134D0BC73}"/>
            </c:ext>
          </c:extLst>
        </c:ser>
        <c:ser>
          <c:idx val="1"/>
          <c:order val="1"/>
          <c:tx>
            <c:strRef>
              <c:f>Monografía!$H$47</c:f>
              <c:strCache>
                <c:ptCount val="1"/>
                <c:pt idx="0">
                  <c:v>Hombres</c:v>
                </c:pt>
              </c:strCache>
            </c:strRef>
          </c:tx>
          <c:spPr>
            <a:solidFill>
              <a:schemeClr val="bg1">
                <a:lumMod val="85000"/>
              </a:schemeClr>
            </a:solidFill>
            <a:ln>
              <a:noFill/>
            </a:ln>
            <a:effectLst/>
          </c:spPr>
          <c:invertIfNegative val="0"/>
          <c:cat>
            <c:strRef>
              <c:f>Monografía!$F$49:$F$66</c:f>
              <c:strCache>
                <c:ptCount val="18"/>
                <c:pt idx="0">
                  <c:v>0 a 4</c:v>
                </c:pt>
                <c:pt idx="1">
                  <c:v>5 a 9</c:v>
                </c:pt>
                <c:pt idx="2">
                  <c:v>10 a 14</c:v>
                </c:pt>
                <c:pt idx="3">
                  <c:v>15 a 19</c:v>
                </c:pt>
                <c:pt idx="4">
                  <c:v>20 a 24</c:v>
                </c:pt>
                <c:pt idx="5">
                  <c:v>25 a 29</c:v>
                </c:pt>
                <c:pt idx="6">
                  <c:v>30 a 34</c:v>
                </c:pt>
                <c:pt idx="7">
                  <c:v>35 a 39</c:v>
                </c:pt>
                <c:pt idx="8">
                  <c:v>40 a 44</c:v>
                </c:pt>
                <c:pt idx="9">
                  <c:v>45 a 49</c:v>
                </c:pt>
                <c:pt idx="10">
                  <c:v>50 a 54</c:v>
                </c:pt>
                <c:pt idx="11">
                  <c:v>55 a 59</c:v>
                </c:pt>
                <c:pt idx="12">
                  <c:v>60 a 64</c:v>
                </c:pt>
                <c:pt idx="13">
                  <c:v>65 a 69</c:v>
                </c:pt>
                <c:pt idx="14">
                  <c:v>70 a 74</c:v>
                </c:pt>
                <c:pt idx="15">
                  <c:v>75 a 79</c:v>
                </c:pt>
                <c:pt idx="16">
                  <c:v>80 a 84</c:v>
                </c:pt>
                <c:pt idx="17">
                  <c:v>85 y más</c:v>
                </c:pt>
              </c:strCache>
            </c:strRef>
          </c:cat>
          <c:val>
            <c:numRef>
              <c:f>Monografía!$H$49:$H$66</c:f>
              <c:numCache>
                <c:formatCode>#,##0</c:formatCode>
                <c:ptCount val="18"/>
                <c:pt idx="0">
                  <c:v>62978</c:v>
                </c:pt>
                <c:pt idx="1">
                  <c:v>66359</c:v>
                </c:pt>
                <c:pt idx="2">
                  <c:v>66080</c:v>
                </c:pt>
                <c:pt idx="3">
                  <c:v>66903</c:v>
                </c:pt>
                <c:pt idx="4">
                  <c:v>63154</c:v>
                </c:pt>
                <c:pt idx="5">
                  <c:v>58141</c:v>
                </c:pt>
                <c:pt idx="6">
                  <c:v>51651</c:v>
                </c:pt>
                <c:pt idx="7">
                  <c:v>47774</c:v>
                </c:pt>
                <c:pt idx="8">
                  <c:v>43839</c:v>
                </c:pt>
                <c:pt idx="9">
                  <c:v>40163</c:v>
                </c:pt>
                <c:pt idx="10">
                  <c:v>34611</c:v>
                </c:pt>
                <c:pt idx="11">
                  <c:v>27608</c:v>
                </c:pt>
                <c:pt idx="12">
                  <c:v>22435</c:v>
                </c:pt>
                <c:pt idx="13">
                  <c:v>16698</c:v>
                </c:pt>
                <c:pt idx="14">
                  <c:v>11782</c:v>
                </c:pt>
                <c:pt idx="15">
                  <c:v>7739</c:v>
                </c:pt>
                <c:pt idx="16">
                  <c:v>4397</c:v>
                </c:pt>
                <c:pt idx="17">
                  <c:v>3622</c:v>
                </c:pt>
              </c:numCache>
            </c:numRef>
          </c:val>
          <c:extLst>
            <c:ext xmlns:c16="http://schemas.microsoft.com/office/drawing/2014/chart" uri="{C3380CC4-5D6E-409C-BE32-E72D297353CC}">
              <c16:uniqueId val="{00000001-2118-4181-B055-5FE134D0BC73}"/>
            </c:ext>
          </c:extLst>
        </c:ser>
        <c:dLbls>
          <c:showLegendKey val="0"/>
          <c:showVal val="0"/>
          <c:showCatName val="0"/>
          <c:showSerName val="0"/>
          <c:showPercent val="0"/>
          <c:showBubbleSize val="0"/>
        </c:dLbls>
        <c:gapWidth val="25"/>
        <c:overlap val="100"/>
        <c:axId val="1804015231"/>
        <c:axId val="1565417391"/>
      </c:barChart>
      <c:catAx>
        <c:axId val="1804015231"/>
        <c:scaling>
          <c:orientation val="maxMin"/>
        </c:scaling>
        <c:delete val="0"/>
        <c:axPos val="l"/>
        <c:numFmt formatCode="#,##0.00" sourceLinked="0"/>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crossAx val="1565417391"/>
        <c:crosses val="autoZero"/>
        <c:auto val="1"/>
        <c:lblAlgn val="ctr"/>
        <c:lblOffset val="100"/>
        <c:noMultiLvlLbl val="0"/>
      </c:catAx>
      <c:valAx>
        <c:axId val="1565417391"/>
        <c:scaling>
          <c:orientation val="minMax"/>
        </c:scaling>
        <c:delete val="0"/>
        <c:axPos val="t"/>
        <c:majorGridlines>
          <c:spPr>
            <a:ln w="9525" cap="flat" cmpd="sng" algn="ctr">
              <a:solidFill>
                <a:schemeClr val="tx1">
                  <a:lumMod val="15000"/>
                  <a:lumOff val="85000"/>
                </a:schemeClr>
              </a:solidFill>
              <a:round/>
            </a:ln>
            <a:effectLst/>
          </c:spPr>
        </c:majorGridlines>
        <c:numFmt formatCode="#,##0;[Black]#,##0" sourceLinked="0"/>
        <c:majorTickMark val="none"/>
        <c:minorTickMark val="none"/>
        <c:tickLblPos val="high"/>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crossAx val="1804015231"/>
        <c:crosses val="autoZero"/>
        <c:crossBetween val="between"/>
      </c:valAx>
      <c:spPr>
        <a:noFill/>
        <a:ln>
          <a:noFill/>
        </a:ln>
        <a:effectLst/>
      </c:spPr>
    </c:plotArea>
    <c:legend>
      <c:legendPos val="b"/>
      <c:layout>
        <c:manualLayout>
          <c:xMode val="edge"/>
          <c:yMode val="edge"/>
          <c:x val="0.33476306080401208"/>
          <c:y val="0.9298542543293199"/>
          <c:w val="0.3608130626673694"/>
          <c:h val="5.0392364396405639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800">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886684027777778"/>
          <c:y val="3.8189432707868606E-2"/>
          <c:w val="0.84210260416666671"/>
          <c:h val="0.78606222506811807"/>
        </c:manualLayout>
      </c:layout>
      <c:lineChart>
        <c:grouping val="standard"/>
        <c:varyColors val="0"/>
        <c:ser>
          <c:idx val="2"/>
          <c:order val="0"/>
          <c:tx>
            <c:strRef>
              <c:f>Monografía!$Q$210</c:f>
              <c:strCache>
                <c:ptCount val="1"/>
                <c:pt idx="0">
                  <c:v>No urbana</c:v>
                </c:pt>
              </c:strCache>
            </c:strRef>
          </c:tx>
          <c:spPr>
            <a:ln w="28575" cap="rnd">
              <a:solidFill>
                <a:schemeClr val="bg1">
                  <a:lumMod val="75000"/>
                </a:schemeClr>
              </a:solidFill>
              <a:round/>
            </a:ln>
            <a:effectLst/>
          </c:spPr>
          <c:marker>
            <c:symbol val="circle"/>
            <c:size val="5"/>
            <c:spPr>
              <a:solidFill>
                <a:schemeClr val="bg1">
                  <a:lumMod val="75000"/>
                </a:schemeClr>
              </a:solidFill>
              <a:ln w="9525">
                <a:solidFill>
                  <a:schemeClr val="bg1">
                    <a:lumMod val="75000"/>
                  </a:schemeClr>
                </a:solidFill>
              </a:ln>
              <a:effectLst/>
            </c:spPr>
          </c:marker>
          <c:cat>
            <c:strRef>
              <c:f>Monografía!$D$214:$D$229</c:f>
              <c:strCache>
                <c:ptCount val="16"/>
                <c:pt idx="0">
                  <c:v>18</c:v>
                </c:pt>
                <c:pt idx="1">
                  <c:v>19</c:v>
                </c:pt>
                <c:pt idx="2">
                  <c:v>20-24</c:v>
                </c:pt>
                <c:pt idx="3">
                  <c:v>25-29</c:v>
                </c:pt>
                <c:pt idx="4">
                  <c:v>30-34</c:v>
                </c:pt>
                <c:pt idx="5">
                  <c:v>35-39</c:v>
                </c:pt>
                <c:pt idx="6">
                  <c:v>40-44</c:v>
                </c:pt>
                <c:pt idx="7">
                  <c:v>45-49</c:v>
                </c:pt>
                <c:pt idx="8">
                  <c:v>50-54</c:v>
                </c:pt>
                <c:pt idx="9">
                  <c:v>55-59</c:v>
                </c:pt>
                <c:pt idx="10">
                  <c:v>60-64</c:v>
                </c:pt>
                <c:pt idx="11">
                  <c:v>65-69</c:v>
                </c:pt>
                <c:pt idx="12">
                  <c:v>70-74</c:v>
                </c:pt>
                <c:pt idx="13">
                  <c:v>75-79</c:v>
                </c:pt>
                <c:pt idx="14">
                  <c:v>80-84</c:v>
                </c:pt>
                <c:pt idx="15">
                  <c:v>85 o más</c:v>
                </c:pt>
              </c:strCache>
            </c:strRef>
          </c:cat>
          <c:val>
            <c:numRef>
              <c:f>Monografía!$Q$214:$Q$229</c:f>
              <c:numCache>
                <c:formatCode>#,##0.0_ ;\-#,##0.0\ </c:formatCode>
                <c:ptCount val="16"/>
                <c:pt idx="0">
                  <c:v>58.5</c:v>
                </c:pt>
                <c:pt idx="1">
                  <c:v>52.2</c:v>
                </c:pt>
                <c:pt idx="2">
                  <c:v>45.8</c:v>
                </c:pt>
                <c:pt idx="3">
                  <c:v>45.2</c:v>
                </c:pt>
                <c:pt idx="4">
                  <c:v>50.1</c:v>
                </c:pt>
                <c:pt idx="5">
                  <c:v>54.4</c:v>
                </c:pt>
                <c:pt idx="6">
                  <c:v>58.6</c:v>
                </c:pt>
                <c:pt idx="7">
                  <c:v>61.6</c:v>
                </c:pt>
                <c:pt idx="8">
                  <c:v>64.099999999999994</c:v>
                </c:pt>
                <c:pt idx="9">
                  <c:v>66</c:v>
                </c:pt>
                <c:pt idx="10">
                  <c:v>66.900000000000006</c:v>
                </c:pt>
                <c:pt idx="11">
                  <c:v>69.2</c:v>
                </c:pt>
                <c:pt idx="12">
                  <c:v>68.3</c:v>
                </c:pt>
                <c:pt idx="13">
                  <c:v>63.6</c:v>
                </c:pt>
                <c:pt idx="14">
                  <c:v>54.9</c:v>
                </c:pt>
                <c:pt idx="15">
                  <c:v>36.799999999999997</c:v>
                </c:pt>
              </c:numCache>
            </c:numRef>
          </c:val>
          <c:smooth val="0"/>
          <c:extLst>
            <c:ext xmlns:c16="http://schemas.microsoft.com/office/drawing/2014/chart" uri="{C3380CC4-5D6E-409C-BE32-E72D297353CC}">
              <c16:uniqueId val="{00000000-A814-4600-B543-67B2FFDE9EB7}"/>
            </c:ext>
          </c:extLst>
        </c:ser>
        <c:ser>
          <c:idx val="0"/>
          <c:order val="1"/>
          <c:tx>
            <c:strRef>
              <c:f>Monografía!$R$210</c:f>
              <c:strCache>
                <c:ptCount val="1"/>
                <c:pt idx="0">
                  <c:v>Urbana</c:v>
                </c:pt>
              </c:strCache>
            </c:strRef>
          </c:tx>
          <c:spPr>
            <a:ln w="28575" cap="rnd">
              <a:solidFill>
                <a:schemeClr val="tx1"/>
              </a:solidFill>
              <a:round/>
            </a:ln>
            <a:effectLst/>
          </c:spPr>
          <c:marker>
            <c:symbol val="circle"/>
            <c:size val="5"/>
            <c:spPr>
              <a:solidFill>
                <a:schemeClr val="tx1"/>
              </a:solidFill>
              <a:ln w="9525">
                <a:solidFill>
                  <a:schemeClr val="tx1"/>
                </a:solidFill>
              </a:ln>
              <a:effectLst/>
            </c:spPr>
          </c:marker>
          <c:cat>
            <c:strRef>
              <c:f>Monografía!$D$214:$D$229</c:f>
              <c:strCache>
                <c:ptCount val="16"/>
                <c:pt idx="0">
                  <c:v>18</c:v>
                </c:pt>
                <c:pt idx="1">
                  <c:v>19</c:v>
                </c:pt>
                <c:pt idx="2">
                  <c:v>20-24</c:v>
                </c:pt>
                <c:pt idx="3">
                  <c:v>25-29</c:v>
                </c:pt>
                <c:pt idx="4">
                  <c:v>30-34</c:v>
                </c:pt>
                <c:pt idx="5">
                  <c:v>35-39</c:v>
                </c:pt>
                <c:pt idx="6">
                  <c:v>40-44</c:v>
                </c:pt>
                <c:pt idx="7">
                  <c:v>45-49</c:v>
                </c:pt>
                <c:pt idx="8">
                  <c:v>50-54</c:v>
                </c:pt>
                <c:pt idx="9">
                  <c:v>55-59</c:v>
                </c:pt>
                <c:pt idx="10">
                  <c:v>60-64</c:v>
                </c:pt>
                <c:pt idx="11">
                  <c:v>65-69</c:v>
                </c:pt>
                <c:pt idx="12">
                  <c:v>70-74</c:v>
                </c:pt>
                <c:pt idx="13">
                  <c:v>75-79</c:v>
                </c:pt>
                <c:pt idx="14">
                  <c:v>80-84</c:v>
                </c:pt>
                <c:pt idx="15">
                  <c:v>85 o más</c:v>
                </c:pt>
              </c:strCache>
            </c:strRef>
          </c:cat>
          <c:val>
            <c:numRef>
              <c:f>Monografía!$R$214:$R$229</c:f>
              <c:numCache>
                <c:formatCode>#,##0.0_ ;\-#,##0.0\ </c:formatCode>
                <c:ptCount val="16"/>
                <c:pt idx="0">
                  <c:v>54.5</c:v>
                </c:pt>
                <c:pt idx="1">
                  <c:v>47.3</c:v>
                </c:pt>
                <c:pt idx="2">
                  <c:v>39.700000000000003</c:v>
                </c:pt>
                <c:pt idx="3">
                  <c:v>36.9</c:v>
                </c:pt>
                <c:pt idx="4">
                  <c:v>40.1</c:v>
                </c:pt>
                <c:pt idx="5">
                  <c:v>45.1</c:v>
                </c:pt>
                <c:pt idx="6">
                  <c:v>50.4</c:v>
                </c:pt>
                <c:pt idx="7">
                  <c:v>54.9</c:v>
                </c:pt>
                <c:pt idx="8">
                  <c:v>58.7</c:v>
                </c:pt>
                <c:pt idx="9">
                  <c:v>61.6</c:v>
                </c:pt>
                <c:pt idx="10">
                  <c:v>65.099999999999994</c:v>
                </c:pt>
                <c:pt idx="11">
                  <c:v>68</c:v>
                </c:pt>
                <c:pt idx="12">
                  <c:v>67.2</c:v>
                </c:pt>
                <c:pt idx="13">
                  <c:v>62.5</c:v>
                </c:pt>
                <c:pt idx="14">
                  <c:v>53.7</c:v>
                </c:pt>
                <c:pt idx="15">
                  <c:v>35.4</c:v>
                </c:pt>
              </c:numCache>
            </c:numRef>
          </c:val>
          <c:smooth val="0"/>
          <c:extLst>
            <c:ext xmlns:c16="http://schemas.microsoft.com/office/drawing/2014/chart" uri="{C3380CC4-5D6E-409C-BE32-E72D297353CC}">
              <c16:uniqueId val="{00000001-A814-4600-B543-67B2FFDE9EB7}"/>
            </c:ext>
          </c:extLst>
        </c:ser>
        <c:ser>
          <c:idx val="1"/>
          <c:order val="2"/>
          <c:tx>
            <c:strRef>
              <c:f>Monografía!$S$210</c:f>
              <c:strCache>
                <c:ptCount val="1"/>
                <c:pt idx="0">
                  <c:v>Total</c:v>
                </c:pt>
              </c:strCache>
            </c:strRef>
          </c:tx>
          <c:spPr>
            <a:ln w="28575" cap="rnd">
              <a:solidFill>
                <a:srgbClr val="D60093"/>
              </a:solidFill>
              <a:round/>
            </a:ln>
            <a:effectLst/>
          </c:spPr>
          <c:marker>
            <c:symbol val="circle"/>
            <c:size val="5"/>
            <c:spPr>
              <a:solidFill>
                <a:srgbClr val="D60093"/>
              </a:solidFill>
              <a:ln w="9525">
                <a:solidFill>
                  <a:srgbClr val="D60093"/>
                </a:solidFill>
              </a:ln>
              <a:effectLst/>
            </c:spPr>
          </c:marker>
          <c:cat>
            <c:strRef>
              <c:f>Monografía!$D$214:$D$229</c:f>
              <c:strCache>
                <c:ptCount val="16"/>
                <c:pt idx="0">
                  <c:v>18</c:v>
                </c:pt>
                <c:pt idx="1">
                  <c:v>19</c:v>
                </c:pt>
                <c:pt idx="2">
                  <c:v>20-24</c:v>
                </c:pt>
                <c:pt idx="3">
                  <c:v>25-29</c:v>
                </c:pt>
                <c:pt idx="4">
                  <c:v>30-34</c:v>
                </c:pt>
                <c:pt idx="5">
                  <c:v>35-39</c:v>
                </c:pt>
                <c:pt idx="6">
                  <c:v>40-44</c:v>
                </c:pt>
                <c:pt idx="7">
                  <c:v>45-49</c:v>
                </c:pt>
                <c:pt idx="8">
                  <c:v>50-54</c:v>
                </c:pt>
                <c:pt idx="9">
                  <c:v>55-59</c:v>
                </c:pt>
                <c:pt idx="10">
                  <c:v>60-64</c:v>
                </c:pt>
                <c:pt idx="11">
                  <c:v>65-69</c:v>
                </c:pt>
                <c:pt idx="12">
                  <c:v>70-74</c:v>
                </c:pt>
                <c:pt idx="13">
                  <c:v>75-79</c:v>
                </c:pt>
                <c:pt idx="14">
                  <c:v>80-84</c:v>
                </c:pt>
                <c:pt idx="15">
                  <c:v>85 o más</c:v>
                </c:pt>
              </c:strCache>
            </c:strRef>
          </c:cat>
          <c:val>
            <c:numRef>
              <c:f>Monografía!$S$214:$S$229</c:f>
              <c:numCache>
                <c:formatCode>#,##0.0_ ;\-#,##0.0\ </c:formatCode>
                <c:ptCount val="16"/>
                <c:pt idx="0">
                  <c:v>55.754649999999998</c:v>
                </c:pt>
                <c:pt idx="1">
                  <c:v>48.909689999999998</c:v>
                </c:pt>
                <c:pt idx="2">
                  <c:v>41.726419999999997</c:v>
                </c:pt>
                <c:pt idx="3">
                  <c:v>39.612760000000002</c:v>
                </c:pt>
                <c:pt idx="4">
                  <c:v>43.274210000000004</c:v>
                </c:pt>
                <c:pt idx="5">
                  <c:v>48.080950000000001</c:v>
                </c:pt>
                <c:pt idx="6">
                  <c:v>52.984079999999999</c:v>
                </c:pt>
                <c:pt idx="7">
                  <c:v>56.900720000000007</c:v>
                </c:pt>
                <c:pt idx="8">
                  <c:v>60.303580000000004</c:v>
                </c:pt>
                <c:pt idx="9">
                  <c:v>62.90643</c:v>
                </c:pt>
                <c:pt idx="10">
                  <c:v>65.692039999999992</c:v>
                </c:pt>
                <c:pt idx="11">
                  <c:v>68.405439999999999</c:v>
                </c:pt>
                <c:pt idx="12">
                  <c:v>67.618359999999996</c:v>
                </c:pt>
                <c:pt idx="13">
                  <c:v>62.918819999999997</c:v>
                </c:pt>
                <c:pt idx="14">
                  <c:v>54.135330000000003</c:v>
                </c:pt>
                <c:pt idx="15">
                  <c:v>35.916110000000003</c:v>
                </c:pt>
              </c:numCache>
            </c:numRef>
          </c:val>
          <c:smooth val="0"/>
          <c:extLst>
            <c:ext xmlns:c16="http://schemas.microsoft.com/office/drawing/2014/chart" uri="{C3380CC4-5D6E-409C-BE32-E72D297353CC}">
              <c16:uniqueId val="{00000002-A814-4600-B543-67B2FFDE9EB7}"/>
            </c:ext>
          </c:extLst>
        </c:ser>
        <c:dLbls>
          <c:showLegendKey val="0"/>
          <c:showVal val="0"/>
          <c:showCatName val="0"/>
          <c:showSerName val="0"/>
          <c:showPercent val="0"/>
          <c:showBubbleSize val="0"/>
        </c:dLbls>
        <c:marker val="1"/>
        <c:smooth val="0"/>
        <c:axId val="175060288"/>
        <c:axId val="175059872"/>
      </c:lineChart>
      <c:catAx>
        <c:axId val="175060288"/>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es-MX"/>
                  <a:t>Grupo de edad</a:t>
                </a:r>
              </a:p>
            </c:rich>
          </c:tx>
          <c:layout>
            <c:manualLayout>
              <c:xMode val="edge"/>
              <c:yMode val="edge"/>
              <c:x val="0.44449795288829752"/>
              <c:y val="0.8917177760657935"/>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title>
        <c:numFmt formatCode="General" sourceLinked="1"/>
        <c:majorTickMark val="in"/>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crossAx val="175059872"/>
        <c:crosses val="autoZero"/>
        <c:auto val="1"/>
        <c:lblAlgn val="ctr"/>
        <c:lblOffset val="100"/>
        <c:noMultiLvlLbl val="0"/>
      </c:catAx>
      <c:valAx>
        <c:axId val="175059872"/>
        <c:scaling>
          <c:orientation val="minMax"/>
        </c:scaling>
        <c:delete val="0"/>
        <c:axPos val="l"/>
        <c:majorGridlines>
          <c:spPr>
            <a:ln w="9525" cap="flat" cmpd="sng" algn="ctr">
              <a:solidFill>
                <a:schemeClr val="tx1">
                  <a:lumMod val="15000"/>
                  <a:lumOff val="85000"/>
                </a:schemeClr>
              </a:solidFill>
              <a:round/>
            </a:ln>
            <a:effectLst/>
          </c:spPr>
        </c:majorGridlines>
        <c:numFmt formatCode="#,##0.0_ ;\-#,##0.0\ "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crossAx val="175060288"/>
        <c:crosses val="autoZero"/>
        <c:crossBetween val="between"/>
      </c:valAx>
      <c:spPr>
        <a:noFill/>
        <a:ln>
          <a:noFill/>
        </a:ln>
        <a:effectLst/>
      </c:spPr>
    </c:plotArea>
    <c:legend>
      <c:legendPos val="b"/>
      <c:layout>
        <c:manualLayout>
          <c:xMode val="edge"/>
          <c:yMode val="edge"/>
          <c:x val="0.30554027777777776"/>
          <c:y val="0.94109512942165641"/>
          <c:w val="0.4058451388888889"/>
          <c:h val="5.8904861111111109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legend>
    <c:plotVisOnly val="1"/>
    <c:dispBlanksAs val="gap"/>
    <c:showDLblsOverMax val="0"/>
  </c:chart>
  <c:spPr>
    <a:solidFill>
      <a:schemeClr val="bg1"/>
    </a:solidFill>
    <a:ln w="9525" cap="flat" cmpd="sng" algn="ctr">
      <a:noFill/>
      <a:round/>
    </a:ln>
    <a:effectLst/>
  </c:spPr>
  <c:txPr>
    <a:bodyPr/>
    <a:lstStyle/>
    <a:p>
      <a:pPr>
        <a:defRPr sz="800">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458203101520707"/>
          <c:y val="3.9341917024320459E-2"/>
          <c:w val="0.75549978962553344"/>
          <c:h val="0.81363646604260309"/>
        </c:manualLayout>
      </c:layout>
      <c:barChart>
        <c:barDir val="bar"/>
        <c:grouping val="stacked"/>
        <c:varyColors val="0"/>
        <c:ser>
          <c:idx val="0"/>
          <c:order val="0"/>
          <c:tx>
            <c:strRef>
              <c:f>Monografía!$S$47</c:f>
              <c:strCache>
                <c:ptCount val="1"/>
                <c:pt idx="0">
                  <c:v>Mujeres</c:v>
                </c:pt>
              </c:strCache>
            </c:strRef>
          </c:tx>
          <c:spPr>
            <a:solidFill>
              <a:srgbClr val="D60093"/>
            </a:solidFill>
            <a:ln>
              <a:noFill/>
            </a:ln>
            <a:effectLst/>
          </c:spPr>
          <c:invertIfNegative val="0"/>
          <c:cat>
            <c:strRef>
              <c:f>Monografía!$R$49:$R$66</c:f>
              <c:strCache>
                <c:ptCount val="18"/>
                <c:pt idx="0">
                  <c:v>0 a 4</c:v>
                </c:pt>
                <c:pt idx="1">
                  <c:v>5 a 9</c:v>
                </c:pt>
                <c:pt idx="2">
                  <c:v>10 a 14</c:v>
                </c:pt>
                <c:pt idx="3">
                  <c:v>15 a 19</c:v>
                </c:pt>
                <c:pt idx="4">
                  <c:v>20 a 24</c:v>
                </c:pt>
                <c:pt idx="5">
                  <c:v>25 a 29</c:v>
                </c:pt>
                <c:pt idx="6">
                  <c:v>30 a 34</c:v>
                </c:pt>
                <c:pt idx="7">
                  <c:v>35 a 39</c:v>
                </c:pt>
                <c:pt idx="8">
                  <c:v>40 a 44</c:v>
                </c:pt>
                <c:pt idx="9">
                  <c:v>45 a 49</c:v>
                </c:pt>
                <c:pt idx="10">
                  <c:v>50 a 54</c:v>
                </c:pt>
                <c:pt idx="11">
                  <c:v>55 a 59</c:v>
                </c:pt>
                <c:pt idx="12">
                  <c:v>60 a 64</c:v>
                </c:pt>
                <c:pt idx="13">
                  <c:v>65 a 69</c:v>
                </c:pt>
                <c:pt idx="14">
                  <c:v>70 a 74</c:v>
                </c:pt>
                <c:pt idx="15">
                  <c:v>75 a 79</c:v>
                </c:pt>
                <c:pt idx="16">
                  <c:v>80 a 84</c:v>
                </c:pt>
                <c:pt idx="17">
                  <c:v>85 y más</c:v>
                </c:pt>
              </c:strCache>
            </c:strRef>
          </c:cat>
          <c:val>
            <c:numRef>
              <c:f>Monografía!$S$49:$S$66</c:f>
              <c:numCache>
                <c:formatCode>#,##0.0;[Black]#,##0</c:formatCode>
                <c:ptCount val="18"/>
                <c:pt idx="0">
                  <c:v>-4969883</c:v>
                </c:pt>
                <c:pt idx="1">
                  <c:v>-5311288</c:v>
                </c:pt>
                <c:pt idx="2">
                  <c:v>-5389280</c:v>
                </c:pt>
                <c:pt idx="3">
                  <c:v>-5344540</c:v>
                </c:pt>
                <c:pt idx="4">
                  <c:v>-5256211</c:v>
                </c:pt>
                <c:pt idx="5">
                  <c:v>-5131597</c:v>
                </c:pt>
                <c:pt idx="6">
                  <c:v>-4893101</c:v>
                </c:pt>
                <c:pt idx="7">
                  <c:v>-4688746</c:v>
                </c:pt>
                <c:pt idx="8">
                  <c:v>-4441282</c:v>
                </c:pt>
                <c:pt idx="9">
                  <c:v>-4130069</c:v>
                </c:pt>
                <c:pt idx="10">
                  <c:v>-3705369</c:v>
                </c:pt>
                <c:pt idx="11">
                  <c:v>-3002982</c:v>
                </c:pt>
                <c:pt idx="12">
                  <c:v>-2563200</c:v>
                </c:pt>
                <c:pt idx="13">
                  <c:v>-1938227</c:v>
                </c:pt>
                <c:pt idx="14">
                  <c:v>-1413848</c:v>
                </c:pt>
                <c:pt idx="15">
                  <c:v>-966684</c:v>
                </c:pt>
                <c:pt idx="16">
                  <c:v>-651552</c:v>
                </c:pt>
                <c:pt idx="17">
                  <c:v>-605583</c:v>
                </c:pt>
              </c:numCache>
            </c:numRef>
          </c:val>
          <c:extLst>
            <c:ext xmlns:c16="http://schemas.microsoft.com/office/drawing/2014/chart" uri="{C3380CC4-5D6E-409C-BE32-E72D297353CC}">
              <c16:uniqueId val="{00000000-E722-4121-9D4B-81FF4808CB01}"/>
            </c:ext>
          </c:extLst>
        </c:ser>
        <c:ser>
          <c:idx val="1"/>
          <c:order val="1"/>
          <c:tx>
            <c:strRef>
              <c:f>Monografía!$T$47</c:f>
              <c:strCache>
                <c:ptCount val="1"/>
                <c:pt idx="0">
                  <c:v>Hombres</c:v>
                </c:pt>
              </c:strCache>
            </c:strRef>
          </c:tx>
          <c:spPr>
            <a:solidFill>
              <a:schemeClr val="bg1">
                <a:lumMod val="85000"/>
              </a:schemeClr>
            </a:solidFill>
            <a:ln>
              <a:noFill/>
            </a:ln>
            <a:effectLst/>
          </c:spPr>
          <c:invertIfNegative val="0"/>
          <c:cat>
            <c:strRef>
              <c:f>Monografía!$R$49:$R$66</c:f>
              <c:strCache>
                <c:ptCount val="18"/>
                <c:pt idx="0">
                  <c:v>0 a 4</c:v>
                </c:pt>
                <c:pt idx="1">
                  <c:v>5 a 9</c:v>
                </c:pt>
                <c:pt idx="2">
                  <c:v>10 a 14</c:v>
                </c:pt>
                <c:pt idx="3">
                  <c:v>15 a 19</c:v>
                </c:pt>
                <c:pt idx="4">
                  <c:v>20 a 24</c:v>
                </c:pt>
                <c:pt idx="5">
                  <c:v>25 a 29</c:v>
                </c:pt>
                <c:pt idx="6">
                  <c:v>30 a 34</c:v>
                </c:pt>
                <c:pt idx="7">
                  <c:v>35 a 39</c:v>
                </c:pt>
                <c:pt idx="8">
                  <c:v>40 a 44</c:v>
                </c:pt>
                <c:pt idx="9">
                  <c:v>45 a 49</c:v>
                </c:pt>
                <c:pt idx="10">
                  <c:v>50 a 54</c:v>
                </c:pt>
                <c:pt idx="11">
                  <c:v>55 a 59</c:v>
                </c:pt>
                <c:pt idx="12">
                  <c:v>60 a 64</c:v>
                </c:pt>
                <c:pt idx="13">
                  <c:v>65 a 69</c:v>
                </c:pt>
                <c:pt idx="14">
                  <c:v>70 a 74</c:v>
                </c:pt>
                <c:pt idx="15">
                  <c:v>75 a 79</c:v>
                </c:pt>
                <c:pt idx="16">
                  <c:v>80 a 84</c:v>
                </c:pt>
                <c:pt idx="17">
                  <c:v>85 y más</c:v>
                </c:pt>
              </c:strCache>
            </c:strRef>
          </c:cat>
          <c:val>
            <c:numRef>
              <c:f>Monografía!$T$49:$T$66</c:f>
              <c:numCache>
                <c:formatCode>_-* #,##0_-;\-* #,##0_-;_-* "-"??_-;_-@_-</c:formatCode>
                <c:ptCount val="18"/>
                <c:pt idx="0">
                  <c:v>5077482</c:v>
                </c:pt>
                <c:pt idx="1">
                  <c:v>5453091</c:v>
                </c:pt>
                <c:pt idx="2">
                  <c:v>5554260</c:v>
                </c:pt>
                <c:pt idx="3">
                  <c:v>5462150</c:v>
                </c:pt>
                <c:pt idx="4">
                  <c:v>5165884</c:v>
                </c:pt>
                <c:pt idx="5">
                  <c:v>4861404</c:v>
                </c:pt>
                <c:pt idx="6">
                  <c:v>4527726</c:v>
                </c:pt>
                <c:pt idx="7">
                  <c:v>4331530</c:v>
                </c:pt>
                <c:pt idx="8">
                  <c:v>4062304</c:v>
                </c:pt>
                <c:pt idx="9">
                  <c:v>3812344</c:v>
                </c:pt>
                <c:pt idx="10">
                  <c:v>3332163</c:v>
                </c:pt>
                <c:pt idx="11">
                  <c:v>2692976</c:v>
                </c:pt>
                <c:pt idx="12">
                  <c:v>2257862</c:v>
                </c:pt>
                <c:pt idx="13">
                  <c:v>1706850</c:v>
                </c:pt>
                <c:pt idx="14">
                  <c:v>1233492</c:v>
                </c:pt>
                <c:pt idx="15">
                  <c:v>847898</c:v>
                </c:pt>
                <c:pt idx="16">
                  <c:v>523812</c:v>
                </c:pt>
                <c:pt idx="17">
                  <c:v>433968</c:v>
                </c:pt>
              </c:numCache>
            </c:numRef>
          </c:val>
          <c:extLst>
            <c:ext xmlns:c16="http://schemas.microsoft.com/office/drawing/2014/chart" uri="{C3380CC4-5D6E-409C-BE32-E72D297353CC}">
              <c16:uniqueId val="{00000001-E722-4121-9D4B-81FF4808CB01}"/>
            </c:ext>
          </c:extLst>
        </c:ser>
        <c:dLbls>
          <c:showLegendKey val="0"/>
          <c:showVal val="0"/>
          <c:showCatName val="0"/>
          <c:showSerName val="0"/>
          <c:showPercent val="0"/>
          <c:showBubbleSize val="0"/>
        </c:dLbls>
        <c:gapWidth val="25"/>
        <c:overlap val="100"/>
        <c:axId val="1804015231"/>
        <c:axId val="1565417391"/>
      </c:barChart>
      <c:catAx>
        <c:axId val="1804015231"/>
        <c:scaling>
          <c:orientation val="maxMin"/>
        </c:scaling>
        <c:delete val="0"/>
        <c:axPos val="l"/>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crossAx val="1565417391"/>
        <c:crosses val="autoZero"/>
        <c:auto val="1"/>
        <c:lblAlgn val="ctr"/>
        <c:lblOffset val="100"/>
        <c:noMultiLvlLbl val="0"/>
      </c:catAx>
      <c:valAx>
        <c:axId val="1565417391"/>
        <c:scaling>
          <c:orientation val="minMax"/>
        </c:scaling>
        <c:delete val="0"/>
        <c:axPos val="t"/>
        <c:majorGridlines>
          <c:spPr>
            <a:ln w="9525" cap="flat" cmpd="sng" algn="ctr">
              <a:solidFill>
                <a:schemeClr val="tx1">
                  <a:lumMod val="15000"/>
                  <a:lumOff val="85000"/>
                </a:schemeClr>
              </a:solidFill>
              <a:round/>
            </a:ln>
            <a:effectLst/>
          </c:spPr>
        </c:majorGridlines>
        <c:numFmt formatCode="#,##0;[Black]#,##0" sourceLinked="0"/>
        <c:majorTickMark val="none"/>
        <c:minorTickMark val="none"/>
        <c:tickLblPos val="high"/>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crossAx val="1804015231"/>
        <c:crosses val="autoZero"/>
        <c:crossBetween val="between"/>
      </c:valAx>
      <c:spPr>
        <a:noFill/>
        <a:ln>
          <a:noFill/>
        </a:ln>
        <a:effectLst/>
      </c:spPr>
    </c:plotArea>
    <c:legend>
      <c:legendPos val="b"/>
      <c:layout>
        <c:manualLayout>
          <c:xMode val="edge"/>
          <c:yMode val="edge"/>
          <c:x val="0.37533108933902348"/>
          <c:y val="0.92544495511022484"/>
          <c:w val="0.28890497505823032"/>
          <c:h val="5.0392364396405639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800">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458203101520707"/>
          <c:y val="3.9341917024320459E-2"/>
          <c:w val="0.75549978962553344"/>
          <c:h val="0.81363646604260309"/>
        </c:manualLayout>
      </c:layout>
      <c:barChart>
        <c:barDir val="bar"/>
        <c:grouping val="stacked"/>
        <c:varyColors val="0"/>
        <c:ser>
          <c:idx val="0"/>
          <c:order val="0"/>
          <c:tx>
            <c:strRef>
              <c:f>Monografía!$G$100</c:f>
              <c:strCache>
                <c:ptCount val="1"/>
                <c:pt idx="0">
                  <c:v>Mujeres</c:v>
                </c:pt>
              </c:strCache>
            </c:strRef>
          </c:tx>
          <c:spPr>
            <a:solidFill>
              <a:srgbClr val="D60093"/>
            </a:solidFill>
            <a:ln>
              <a:noFill/>
            </a:ln>
            <a:effectLst/>
          </c:spPr>
          <c:invertIfNegative val="0"/>
          <c:cat>
            <c:strRef>
              <c:f>Monografía!$F$104:$F$119</c:f>
              <c:strCache>
                <c:ptCount val="16"/>
                <c:pt idx="0">
                  <c:v>18</c:v>
                </c:pt>
                <c:pt idx="1">
                  <c:v>19</c:v>
                </c:pt>
                <c:pt idx="2">
                  <c:v>20-24</c:v>
                </c:pt>
                <c:pt idx="3">
                  <c:v>25-29</c:v>
                </c:pt>
                <c:pt idx="4">
                  <c:v>30-34</c:v>
                </c:pt>
                <c:pt idx="5">
                  <c:v>35-39</c:v>
                </c:pt>
                <c:pt idx="6">
                  <c:v>40-44</c:v>
                </c:pt>
                <c:pt idx="7">
                  <c:v>45-49</c:v>
                </c:pt>
                <c:pt idx="8">
                  <c:v>50-54</c:v>
                </c:pt>
                <c:pt idx="9">
                  <c:v>55-59</c:v>
                </c:pt>
                <c:pt idx="10">
                  <c:v>60-64</c:v>
                </c:pt>
                <c:pt idx="11">
                  <c:v>65-69</c:v>
                </c:pt>
                <c:pt idx="12">
                  <c:v>70-74</c:v>
                </c:pt>
                <c:pt idx="13">
                  <c:v>75-79</c:v>
                </c:pt>
                <c:pt idx="14">
                  <c:v>80-84</c:v>
                </c:pt>
                <c:pt idx="15">
                  <c:v>85 o más</c:v>
                </c:pt>
              </c:strCache>
            </c:strRef>
          </c:cat>
          <c:val>
            <c:numRef>
              <c:f>Monografía!$G$104:$G$119</c:f>
              <c:numCache>
                <c:formatCode>#,##0.0;[Black]#,##0.0</c:formatCode>
                <c:ptCount val="16"/>
                <c:pt idx="0">
                  <c:v>-10320</c:v>
                </c:pt>
                <c:pt idx="1">
                  <c:v>-12403</c:v>
                </c:pt>
                <c:pt idx="2">
                  <c:v>-65290</c:v>
                </c:pt>
                <c:pt idx="3">
                  <c:v>-65319</c:v>
                </c:pt>
                <c:pt idx="4">
                  <c:v>-58157</c:v>
                </c:pt>
                <c:pt idx="5">
                  <c:v>-53430</c:v>
                </c:pt>
                <c:pt idx="6">
                  <c:v>-49848</c:v>
                </c:pt>
                <c:pt idx="7">
                  <c:v>-48144</c:v>
                </c:pt>
                <c:pt idx="8">
                  <c:v>-41237</c:v>
                </c:pt>
                <c:pt idx="9">
                  <c:v>-34811</c:v>
                </c:pt>
                <c:pt idx="10">
                  <c:v>-27946</c:v>
                </c:pt>
                <c:pt idx="11">
                  <c:v>-20927</c:v>
                </c:pt>
                <c:pt idx="12">
                  <c:v>-15090</c:v>
                </c:pt>
                <c:pt idx="13">
                  <c:v>-10156</c:v>
                </c:pt>
                <c:pt idx="14">
                  <c:v>-6219</c:v>
                </c:pt>
                <c:pt idx="15">
                  <c:v>-5892</c:v>
                </c:pt>
              </c:numCache>
            </c:numRef>
          </c:val>
          <c:extLst>
            <c:ext xmlns:c16="http://schemas.microsoft.com/office/drawing/2014/chart" uri="{C3380CC4-5D6E-409C-BE32-E72D297353CC}">
              <c16:uniqueId val="{00000000-F434-4EA4-B5FA-5E6060AA595E}"/>
            </c:ext>
          </c:extLst>
        </c:ser>
        <c:ser>
          <c:idx val="1"/>
          <c:order val="1"/>
          <c:tx>
            <c:strRef>
              <c:f>Monografía!$H$100</c:f>
              <c:strCache>
                <c:ptCount val="1"/>
                <c:pt idx="0">
                  <c:v>Hombres</c:v>
                </c:pt>
              </c:strCache>
            </c:strRef>
          </c:tx>
          <c:spPr>
            <a:solidFill>
              <a:schemeClr val="bg1">
                <a:lumMod val="85000"/>
              </a:schemeClr>
            </a:solidFill>
            <a:ln>
              <a:noFill/>
            </a:ln>
            <a:effectLst/>
          </c:spPr>
          <c:invertIfNegative val="0"/>
          <c:cat>
            <c:strRef>
              <c:f>Monografía!$F$104:$F$119</c:f>
              <c:strCache>
                <c:ptCount val="16"/>
                <c:pt idx="0">
                  <c:v>18</c:v>
                </c:pt>
                <c:pt idx="1">
                  <c:v>19</c:v>
                </c:pt>
                <c:pt idx="2">
                  <c:v>20-24</c:v>
                </c:pt>
                <c:pt idx="3">
                  <c:v>25-29</c:v>
                </c:pt>
                <c:pt idx="4">
                  <c:v>30-34</c:v>
                </c:pt>
                <c:pt idx="5">
                  <c:v>35-39</c:v>
                </c:pt>
                <c:pt idx="6">
                  <c:v>40-44</c:v>
                </c:pt>
                <c:pt idx="7">
                  <c:v>45-49</c:v>
                </c:pt>
                <c:pt idx="8">
                  <c:v>50-54</c:v>
                </c:pt>
                <c:pt idx="9">
                  <c:v>55-59</c:v>
                </c:pt>
                <c:pt idx="10">
                  <c:v>60-64</c:v>
                </c:pt>
                <c:pt idx="11">
                  <c:v>65-69</c:v>
                </c:pt>
                <c:pt idx="12">
                  <c:v>70-74</c:v>
                </c:pt>
                <c:pt idx="13">
                  <c:v>75-79</c:v>
                </c:pt>
                <c:pt idx="14">
                  <c:v>80-84</c:v>
                </c:pt>
                <c:pt idx="15">
                  <c:v>85 o más</c:v>
                </c:pt>
              </c:strCache>
            </c:strRef>
          </c:cat>
          <c:val>
            <c:numRef>
              <c:f>Monografía!$H$104:$H$119</c:f>
              <c:numCache>
                <c:formatCode>_-* #,##0_-;\-* #,##0_-;_-* "-"??_-;_-@_-</c:formatCode>
                <c:ptCount val="16"/>
                <c:pt idx="0">
                  <c:v>10265</c:v>
                </c:pt>
                <c:pt idx="1">
                  <c:v>12479</c:v>
                </c:pt>
                <c:pt idx="2">
                  <c:v>65812</c:v>
                </c:pt>
                <c:pt idx="3">
                  <c:v>65836</c:v>
                </c:pt>
                <c:pt idx="4">
                  <c:v>56901</c:v>
                </c:pt>
                <c:pt idx="5">
                  <c:v>51267</c:v>
                </c:pt>
                <c:pt idx="6">
                  <c:v>46252</c:v>
                </c:pt>
                <c:pt idx="7">
                  <c:v>44075</c:v>
                </c:pt>
                <c:pt idx="8">
                  <c:v>36623</c:v>
                </c:pt>
                <c:pt idx="9">
                  <c:v>30612</c:v>
                </c:pt>
                <c:pt idx="10">
                  <c:v>24349</c:v>
                </c:pt>
                <c:pt idx="11">
                  <c:v>18074</c:v>
                </c:pt>
                <c:pt idx="12">
                  <c:v>12847</c:v>
                </c:pt>
                <c:pt idx="13">
                  <c:v>8424</c:v>
                </c:pt>
                <c:pt idx="14">
                  <c:v>4582</c:v>
                </c:pt>
                <c:pt idx="15">
                  <c:v>3833</c:v>
                </c:pt>
              </c:numCache>
            </c:numRef>
          </c:val>
          <c:extLst>
            <c:ext xmlns:c16="http://schemas.microsoft.com/office/drawing/2014/chart" uri="{C3380CC4-5D6E-409C-BE32-E72D297353CC}">
              <c16:uniqueId val="{00000001-F434-4EA4-B5FA-5E6060AA595E}"/>
            </c:ext>
          </c:extLst>
        </c:ser>
        <c:dLbls>
          <c:showLegendKey val="0"/>
          <c:showVal val="0"/>
          <c:showCatName val="0"/>
          <c:showSerName val="0"/>
          <c:showPercent val="0"/>
          <c:showBubbleSize val="0"/>
        </c:dLbls>
        <c:gapWidth val="25"/>
        <c:overlap val="100"/>
        <c:axId val="1804015231"/>
        <c:axId val="1565417391"/>
      </c:barChart>
      <c:catAx>
        <c:axId val="1804015231"/>
        <c:scaling>
          <c:orientation val="maxMin"/>
        </c:scaling>
        <c:delete val="0"/>
        <c:axPos val="l"/>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crossAx val="1565417391"/>
        <c:crosses val="autoZero"/>
        <c:auto val="1"/>
        <c:lblAlgn val="ctr"/>
        <c:lblOffset val="100"/>
        <c:noMultiLvlLbl val="0"/>
      </c:catAx>
      <c:valAx>
        <c:axId val="1565417391"/>
        <c:scaling>
          <c:orientation val="minMax"/>
        </c:scaling>
        <c:delete val="0"/>
        <c:axPos val="t"/>
        <c:majorGridlines>
          <c:spPr>
            <a:ln w="9525" cap="flat" cmpd="sng" algn="ctr">
              <a:solidFill>
                <a:schemeClr val="tx1">
                  <a:lumMod val="15000"/>
                  <a:lumOff val="85000"/>
                </a:schemeClr>
              </a:solidFill>
              <a:round/>
            </a:ln>
            <a:effectLst/>
          </c:spPr>
        </c:majorGridlines>
        <c:numFmt formatCode="#,##0;[Black]#,##0" sourceLinked="0"/>
        <c:majorTickMark val="none"/>
        <c:minorTickMark val="none"/>
        <c:tickLblPos val="high"/>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crossAx val="1804015231"/>
        <c:crosses val="autoZero"/>
        <c:crossBetween val="between"/>
      </c:valAx>
      <c:spPr>
        <a:noFill/>
        <a:ln>
          <a:noFill/>
        </a:ln>
        <a:effectLst/>
      </c:spPr>
    </c:plotArea>
    <c:legend>
      <c:legendPos val="b"/>
      <c:layout>
        <c:manualLayout>
          <c:xMode val="edge"/>
          <c:yMode val="edge"/>
          <c:x val="0.33476306080401208"/>
          <c:y val="0.9298542543293199"/>
          <c:w val="0.3608130626673694"/>
          <c:h val="5.0392364396405639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800">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458203101520707"/>
          <c:y val="3.9341917024320459E-2"/>
          <c:w val="0.75549978962553344"/>
          <c:h val="0.81363646604260309"/>
        </c:manualLayout>
      </c:layout>
      <c:barChart>
        <c:barDir val="bar"/>
        <c:grouping val="stacked"/>
        <c:varyColors val="0"/>
        <c:ser>
          <c:idx val="0"/>
          <c:order val="0"/>
          <c:tx>
            <c:strRef>
              <c:f>Monografía!$S$100</c:f>
              <c:strCache>
                <c:ptCount val="1"/>
                <c:pt idx="0">
                  <c:v>Mujeres</c:v>
                </c:pt>
              </c:strCache>
            </c:strRef>
          </c:tx>
          <c:spPr>
            <a:solidFill>
              <a:srgbClr val="D60093"/>
            </a:solidFill>
            <a:ln>
              <a:noFill/>
            </a:ln>
            <a:effectLst/>
          </c:spPr>
          <c:invertIfNegative val="0"/>
          <c:cat>
            <c:strRef>
              <c:f>Monografía!$R$104:$R$119</c:f>
              <c:strCache>
                <c:ptCount val="16"/>
                <c:pt idx="0">
                  <c:v>18</c:v>
                </c:pt>
                <c:pt idx="1">
                  <c:v>19</c:v>
                </c:pt>
                <c:pt idx="2">
                  <c:v>20-24</c:v>
                </c:pt>
                <c:pt idx="3">
                  <c:v>25-29</c:v>
                </c:pt>
                <c:pt idx="4">
                  <c:v>30-34</c:v>
                </c:pt>
                <c:pt idx="5">
                  <c:v>35-39</c:v>
                </c:pt>
                <c:pt idx="6">
                  <c:v>40-44</c:v>
                </c:pt>
                <c:pt idx="7">
                  <c:v>45-49</c:v>
                </c:pt>
                <c:pt idx="8">
                  <c:v>50-54</c:v>
                </c:pt>
                <c:pt idx="9">
                  <c:v>55-59</c:v>
                </c:pt>
                <c:pt idx="10">
                  <c:v>60-64</c:v>
                </c:pt>
                <c:pt idx="11">
                  <c:v>65-69</c:v>
                </c:pt>
                <c:pt idx="12">
                  <c:v>70-74</c:v>
                </c:pt>
                <c:pt idx="13">
                  <c:v>75-79</c:v>
                </c:pt>
                <c:pt idx="14">
                  <c:v>80-84</c:v>
                </c:pt>
                <c:pt idx="15">
                  <c:v>85 o más</c:v>
                </c:pt>
              </c:strCache>
            </c:strRef>
          </c:cat>
          <c:val>
            <c:numRef>
              <c:f>Monografía!$S$104:$S$119</c:f>
              <c:numCache>
                <c:formatCode>#,##0.0;[Black]#,##0.0</c:formatCode>
                <c:ptCount val="16"/>
                <c:pt idx="0">
                  <c:v>-657235</c:v>
                </c:pt>
                <c:pt idx="1">
                  <c:v>-954508</c:v>
                </c:pt>
                <c:pt idx="2">
                  <c:v>-5530887</c:v>
                </c:pt>
                <c:pt idx="3">
                  <c:v>-5709346</c:v>
                </c:pt>
                <c:pt idx="4">
                  <c:v>-5252203</c:v>
                </c:pt>
                <c:pt idx="5">
                  <c:v>-4914086</c:v>
                </c:pt>
                <c:pt idx="6">
                  <c:v>-4643304</c:v>
                </c:pt>
                <c:pt idx="7">
                  <c:v>-4513881</c:v>
                </c:pt>
                <c:pt idx="8">
                  <c:v>-3902804</c:v>
                </c:pt>
                <c:pt idx="9">
                  <c:v>-3354993</c:v>
                </c:pt>
                <c:pt idx="10">
                  <c:v>-2758468</c:v>
                </c:pt>
                <c:pt idx="11">
                  <c:v>-2119463</c:v>
                </c:pt>
                <c:pt idx="12">
                  <c:v>-1576570</c:v>
                </c:pt>
                <c:pt idx="13">
                  <c:v>-1108269</c:v>
                </c:pt>
                <c:pt idx="14">
                  <c:v>-748183</c:v>
                </c:pt>
                <c:pt idx="15">
                  <c:v>-720386</c:v>
                </c:pt>
              </c:numCache>
            </c:numRef>
          </c:val>
          <c:extLst>
            <c:ext xmlns:c16="http://schemas.microsoft.com/office/drawing/2014/chart" uri="{C3380CC4-5D6E-409C-BE32-E72D297353CC}">
              <c16:uniqueId val="{00000000-B7E5-4D02-9521-29C76B9EB678}"/>
            </c:ext>
          </c:extLst>
        </c:ser>
        <c:ser>
          <c:idx val="1"/>
          <c:order val="1"/>
          <c:tx>
            <c:strRef>
              <c:f>Monografía!$T$100</c:f>
              <c:strCache>
                <c:ptCount val="1"/>
                <c:pt idx="0">
                  <c:v>Hombres</c:v>
                </c:pt>
              </c:strCache>
            </c:strRef>
          </c:tx>
          <c:spPr>
            <a:solidFill>
              <a:schemeClr val="bg1">
                <a:lumMod val="85000"/>
              </a:schemeClr>
            </a:solidFill>
            <a:ln>
              <a:noFill/>
            </a:ln>
            <a:effectLst/>
          </c:spPr>
          <c:invertIfNegative val="0"/>
          <c:cat>
            <c:strRef>
              <c:f>Monografía!$R$104:$R$119</c:f>
              <c:strCache>
                <c:ptCount val="16"/>
                <c:pt idx="0">
                  <c:v>18</c:v>
                </c:pt>
                <c:pt idx="1">
                  <c:v>19</c:v>
                </c:pt>
                <c:pt idx="2">
                  <c:v>20-24</c:v>
                </c:pt>
                <c:pt idx="3">
                  <c:v>25-29</c:v>
                </c:pt>
                <c:pt idx="4">
                  <c:v>30-34</c:v>
                </c:pt>
                <c:pt idx="5">
                  <c:v>35-39</c:v>
                </c:pt>
                <c:pt idx="6">
                  <c:v>40-44</c:v>
                </c:pt>
                <c:pt idx="7">
                  <c:v>45-49</c:v>
                </c:pt>
                <c:pt idx="8">
                  <c:v>50-54</c:v>
                </c:pt>
                <c:pt idx="9">
                  <c:v>55-59</c:v>
                </c:pt>
                <c:pt idx="10">
                  <c:v>60-64</c:v>
                </c:pt>
                <c:pt idx="11">
                  <c:v>65-69</c:v>
                </c:pt>
                <c:pt idx="12">
                  <c:v>70-74</c:v>
                </c:pt>
                <c:pt idx="13">
                  <c:v>75-79</c:v>
                </c:pt>
                <c:pt idx="14">
                  <c:v>80-84</c:v>
                </c:pt>
                <c:pt idx="15">
                  <c:v>85 o más</c:v>
                </c:pt>
              </c:strCache>
            </c:strRef>
          </c:cat>
          <c:val>
            <c:numRef>
              <c:f>Monografía!$T$104:$T$119</c:f>
              <c:numCache>
                <c:formatCode>_-* #,##0_-;\-* #,##0_-;_-* "-"??_-;_-@_-</c:formatCode>
                <c:ptCount val="16"/>
                <c:pt idx="0">
                  <c:v>661484</c:v>
                </c:pt>
                <c:pt idx="1">
                  <c:v>949961</c:v>
                </c:pt>
                <c:pt idx="2">
                  <c:v>5522628</c:v>
                </c:pt>
                <c:pt idx="3">
                  <c:v>5678937</c:v>
                </c:pt>
                <c:pt idx="4">
                  <c:v>5057111</c:v>
                </c:pt>
                <c:pt idx="5">
                  <c:v>4629923</c:v>
                </c:pt>
                <c:pt idx="6">
                  <c:v>4306586</c:v>
                </c:pt>
                <c:pt idx="7">
                  <c:v>4154310</c:v>
                </c:pt>
                <c:pt idx="8">
                  <c:v>3522630</c:v>
                </c:pt>
                <c:pt idx="9">
                  <c:v>2965868</c:v>
                </c:pt>
                <c:pt idx="10">
                  <c:v>2410317</c:v>
                </c:pt>
                <c:pt idx="11">
                  <c:v>1845612</c:v>
                </c:pt>
                <c:pt idx="12">
                  <c:v>1354621</c:v>
                </c:pt>
                <c:pt idx="13">
                  <c:v>921196</c:v>
                </c:pt>
                <c:pt idx="14">
                  <c:v>587723</c:v>
                </c:pt>
                <c:pt idx="15">
                  <c:v>498640</c:v>
                </c:pt>
              </c:numCache>
            </c:numRef>
          </c:val>
          <c:extLst>
            <c:ext xmlns:c16="http://schemas.microsoft.com/office/drawing/2014/chart" uri="{C3380CC4-5D6E-409C-BE32-E72D297353CC}">
              <c16:uniqueId val="{00000001-B7E5-4D02-9521-29C76B9EB678}"/>
            </c:ext>
          </c:extLst>
        </c:ser>
        <c:dLbls>
          <c:showLegendKey val="0"/>
          <c:showVal val="0"/>
          <c:showCatName val="0"/>
          <c:showSerName val="0"/>
          <c:showPercent val="0"/>
          <c:showBubbleSize val="0"/>
        </c:dLbls>
        <c:gapWidth val="25"/>
        <c:overlap val="100"/>
        <c:axId val="1804015231"/>
        <c:axId val="1565417391"/>
      </c:barChart>
      <c:catAx>
        <c:axId val="1804015231"/>
        <c:scaling>
          <c:orientation val="maxMin"/>
        </c:scaling>
        <c:delete val="0"/>
        <c:axPos val="l"/>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crossAx val="1565417391"/>
        <c:crosses val="autoZero"/>
        <c:auto val="1"/>
        <c:lblAlgn val="ctr"/>
        <c:lblOffset val="100"/>
        <c:noMultiLvlLbl val="0"/>
      </c:catAx>
      <c:valAx>
        <c:axId val="1565417391"/>
        <c:scaling>
          <c:orientation val="minMax"/>
        </c:scaling>
        <c:delete val="0"/>
        <c:axPos val="t"/>
        <c:majorGridlines>
          <c:spPr>
            <a:ln w="9525" cap="flat" cmpd="sng" algn="ctr">
              <a:solidFill>
                <a:schemeClr val="tx1">
                  <a:lumMod val="15000"/>
                  <a:lumOff val="85000"/>
                </a:schemeClr>
              </a:solidFill>
              <a:round/>
            </a:ln>
            <a:effectLst/>
          </c:spPr>
        </c:majorGridlines>
        <c:numFmt formatCode="#,##0;[Black]#,##0" sourceLinked="0"/>
        <c:majorTickMark val="none"/>
        <c:minorTickMark val="none"/>
        <c:tickLblPos val="high"/>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crossAx val="1804015231"/>
        <c:crosses val="autoZero"/>
        <c:crossBetween val="between"/>
      </c:valAx>
      <c:spPr>
        <a:noFill/>
        <a:ln>
          <a:noFill/>
        </a:ln>
        <a:effectLst/>
      </c:spPr>
    </c:plotArea>
    <c:legend>
      <c:legendPos val="b"/>
      <c:layout>
        <c:manualLayout>
          <c:xMode val="edge"/>
          <c:yMode val="edge"/>
          <c:x val="0.33476306080401208"/>
          <c:y val="0.9298542543293199"/>
          <c:w val="0.3608130626673694"/>
          <c:h val="5.0392364396405639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800">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886684027777778"/>
          <c:y val="3.8189432707868606E-2"/>
          <c:w val="0.84210260416666671"/>
          <c:h val="0.78350311106216619"/>
        </c:manualLayout>
      </c:layout>
      <c:lineChart>
        <c:grouping val="standard"/>
        <c:varyColors val="0"/>
        <c:ser>
          <c:idx val="2"/>
          <c:order val="0"/>
          <c:tx>
            <c:strRef>
              <c:f>Monografía!$E$140</c:f>
              <c:strCache>
                <c:ptCount val="1"/>
                <c:pt idx="0">
                  <c:v>Mujeres</c:v>
                </c:pt>
              </c:strCache>
            </c:strRef>
          </c:tx>
          <c:spPr>
            <a:ln w="28575" cap="rnd">
              <a:solidFill>
                <a:srgbClr val="D60093"/>
              </a:solidFill>
              <a:round/>
            </a:ln>
            <a:effectLst/>
          </c:spPr>
          <c:marker>
            <c:symbol val="circle"/>
            <c:size val="5"/>
            <c:spPr>
              <a:solidFill>
                <a:schemeClr val="bg1">
                  <a:lumMod val="75000"/>
                </a:schemeClr>
              </a:solidFill>
              <a:ln w="9525">
                <a:solidFill>
                  <a:schemeClr val="bg1">
                    <a:lumMod val="75000"/>
                  </a:schemeClr>
                </a:solidFill>
              </a:ln>
              <a:effectLst/>
            </c:spPr>
          </c:marker>
          <c:cat>
            <c:strRef>
              <c:f>Monografía!$D$144:$D$159</c:f>
              <c:strCache>
                <c:ptCount val="16"/>
                <c:pt idx="0">
                  <c:v>18</c:v>
                </c:pt>
                <c:pt idx="1">
                  <c:v>19</c:v>
                </c:pt>
                <c:pt idx="2">
                  <c:v>20-24</c:v>
                </c:pt>
                <c:pt idx="3">
                  <c:v>25-29</c:v>
                </c:pt>
                <c:pt idx="4">
                  <c:v>30-34</c:v>
                </c:pt>
                <c:pt idx="5">
                  <c:v>35-39</c:v>
                </c:pt>
                <c:pt idx="6">
                  <c:v>40-44</c:v>
                </c:pt>
                <c:pt idx="7">
                  <c:v>45-49</c:v>
                </c:pt>
                <c:pt idx="8">
                  <c:v>50-54</c:v>
                </c:pt>
                <c:pt idx="9">
                  <c:v>55-59</c:v>
                </c:pt>
                <c:pt idx="10">
                  <c:v>60-64</c:v>
                </c:pt>
                <c:pt idx="11">
                  <c:v>65-69</c:v>
                </c:pt>
                <c:pt idx="12">
                  <c:v>70-74</c:v>
                </c:pt>
                <c:pt idx="13">
                  <c:v>75-79</c:v>
                </c:pt>
                <c:pt idx="14">
                  <c:v>80-84</c:v>
                </c:pt>
                <c:pt idx="15">
                  <c:v>85 o más</c:v>
                </c:pt>
              </c:strCache>
            </c:strRef>
          </c:cat>
          <c:val>
            <c:numRef>
              <c:f>Monografía!$E$144:$E$159</c:f>
              <c:numCache>
                <c:formatCode>#,##0.0_ ;\-#,##0.0\ </c:formatCode>
                <c:ptCount val="16"/>
                <c:pt idx="0">
                  <c:v>54.854930000000003</c:v>
                </c:pt>
                <c:pt idx="1">
                  <c:v>47.208219999999997</c:v>
                </c:pt>
                <c:pt idx="2">
                  <c:v>43.61515</c:v>
                </c:pt>
                <c:pt idx="3">
                  <c:v>43.538520000000005</c:v>
                </c:pt>
                <c:pt idx="4">
                  <c:v>46.98413</c:v>
                </c:pt>
                <c:pt idx="5">
                  <c:v>50.199150000000003</c:v>
                </c:pt>
                <c:pt idx="6">
                  <c:v>55.886020000000002</c:v>
                </c:pt>
                <c:pt idx="7">
                  <c:v>61.097429999999996</c:v>
                </c:pt>
                <c:pt idx="8">
                  <c:v>62.849509999999995</c:v>
                </c:pt>
                <c:pt idx="9">
                  <c:v>66.955650000000006</c:v>
                </c:pt>
                <c:pt idx="10">
                  <c:v>68.915350000000004</c:v>
                </c:pt>
                <c:pt idx="11">
                  <c:v>70.862679999999997</c:v>
                </c:pt>
                <c:pt idx="12">
                  <c:v>68.386470000000003</c:v>
                </c:pt>
                <c:pt idx="13">
                  <c:v>62.868299999999998</c:v>
                </c:pt>
                <c:pt idx="14">
                  <c:v>52.750390000000003</c:v>
                </c:pt>
                <c:pt idx="15">
                  <c:v>36.475950000000005</c:v>
                </c:pt>
              </c:numCache>
            </c:numRef>
          </c:val>
          <c:smooth val="0"/>
          <c:extLst>
            <c:ext xmlns:c16="http://schemas.microsoft.com/office/drawing/2014/chart" uri="{C3380CC4-5D6E-409C-BE32-E72D297353CC}">
              <c16:uniqueId val="{00000000-20A6-4C72-A716-1C20AAEDEE6F}"/>
            </c:ext>
          </c:extLst>
        </c:ser>
        <c:ser>
          <c:idx val="0"/>
          <c:order val="1"/>
          <c:tx>
            <c:strRef>
              <c:f>Monografía!$F$140</c:f>
              <c:strCache>
                <c:ptCount val="1"/>
                <c:pt idx="0">
                  <c:v>Hombres</c:v>
                </c:pt>
              </c:strCache>
            </c:strRef>
          </c:tx>
          <c:spPr>
            <a:ln w="28575" cap="rnd">
              <a:solidFill>
                <a:schemeClr val="bg1">
                  <a:lumMod val="75000"/>
                </a:schemeClr>
              </a:solidFill>
              <a:round/>
            </a:ln>
            <a:effectLst/>
          </c:spPr>
          <c:marker>
            <c:symbol val="circle"/>
            <c:size val="5"/>
            <c:spPr>
              <a:solidFill>
                <a:schemeClr val="bg1">
                  <a:lumMod val="75000"/>
                </a:schemeClr>
              </a:solidFill>
              <a:ln w="9525">
                <a:solidFill>
                  <a:schemeClr val="bg1">
                    <a:lumMod val="75000"/>
                  </a:schemeClr>
                </a:solidFill>
              </a:ln>
              <a:effectLst/>
            </c:spPr>
          </c:marker>
          <c:cat>
            <c:strRef>
              <c:f>Monografía!$D$144:$D$159</c:f>
              <c:strCache>
                <c:ptCount val="16"/>
                <c:pt idx="0">
                  <c:v>18</c:v>
                </c:pt>
                <c:pt idx="1">
                  <c:v>19</c:v>
                </c:pt>
                <c:pt idx="2">
                  <c:v>20-24</c:v>
                </c:pt>
                <c:pt idx="3">
                  <c:v>25-29</c:v>
                </c:pt>
                <c:pt idx="4">
                  <c:v>30-34</c:v>
                </c:pt>
                <c:pt idx="5">
                  <c:v>35-39</c:v>
                </c:pt>
                <c:pt idx="6">
                  <c:v>40-44</c:v>
                </c:pt>
                <c:pt idx="7">
                  <c:v>45-49</c:v>
                </c:pt>
                <c:pt idx="8">
                  <c:v>50-54</c:v>
                </c:pt>
                <c:pt idx="9">
                  <c:v>55-59</c:v>
                </c:pt>
                <c:pt idx="10">
                  <c:v>60-64</c:v>
                </c:pt>
                <c:pt idx="11">
                  <c:v>65-69</c:v>
                </c:pt>
                <c:pt idx="12">
                  <c:v>70-74</c:v>
                </c:pt>
                <c:pt idx="13">
                  <c:v>75-79</c:v>
                </c:pt>
                <c:pt idx="14">
                  <c:v>80-84</c:v>
                </c:pt>
                <c:pt idx="15">
                  <c:v>85 o más</c:v>
                </c:pt>
              </c:strCache>
            </c:strRef>
          </c:cat>
          <c:val>
            <c:numRef>
              <c:f>Monografía!$F$144:$F$159</c:f>
              <c:numCache>
                <c:formatCode>#,##0.0_ ;\-#,##0.0\ </c:formatCode>
                <c:ptCount val="16"/>
                <c:pt idx="0">
                  <c:v>44.828479999999999</c:v>
                </c:pt>
                <c:pt idx="1">
                  <c:v>42.547739999999997</c:v>
                </c:pt>
                <c:pt idx="2">
                  <c:v>34.726300000000002</c:v>
                </c:pt>
                <c:pt idx="3">
                  <c:v>33.106549999999999</c:v>
                </c:pt>
                <c:pt idx="4">
                  <c:v>34.558729999999997</c:v>
                </c:pt>
                <c:pt idx="5">
                  <c:v>39.547870000000003</c:v>
                </c:pt>
                <c:pt idx="6">
                  <c:v>43.393129999999999</c:v>
                </c:pt>
                <c:pt idx="7">
                  <c:v>49.119</c:v>
                </c:pt>
                <c:pt idx="8">
                  <c:v>52.616039999999998</c:v>
                </c:pt>
                <c:pt idx="9">
                  <c:v>57.53049</c:v>
                </c:pt>
                <c:pt idx="10">
                  <c:v>62.721190000000007</c:v>
                </c:pt>
                <c:pt idx="11">
                  <c:v>66.969639999999998</c:v>
                </c:pt>
                <c:pt idx="12">
                  <c:v>69.256019999999992</c:v>
                </c:pt>
                <c:pt idx="13">
                  <c:v>63.341950000000004</c:v>
                </c:pt>
                <c:pt idx="14">
                  <c:v>59.919629999999998</c:v>
                </c:pt>
                <c:pt idx="15">
                  <c:v>43.807960000000001</c:v>
                </c:pt>
              </c:numCache>
            </c:numRef>
          </c:val>
          <c:smooth val="0"/>
          <c:extLst>
            <c:ext xmlns:c16="http://schemas.microsoft.com/office/drawing/2014/chart" uri="{C3380CC4-5D6E-409C-BE32-E72D297353CC}">
              <c16:uniqueId val="{00000003-20A6-4C72-A716-1C20AAEDEE6F}"/>
            </c:ext>
          </c:extLst>
        </c:ser>
        <c:ser>
          <c:idx val="1"/>
          <c:order val="2"/>
          <c:tx>
            <c:strRef>
              <c:f>Monografía!$G$140</c:f>
              <c:strCache>
                <c:ptCount val="1"/>
                <c:pt idx="0">
                  <c:v>Total</c:v>
                </c:pt>
              </c:strCache>
            </c:strRef>
          </c:tx>
          <c:spPr>
            <a:ln w="28575" cap="rnd">
              <a:solidFill>
                <a:sysClr val="windowText" lastClr="000000"/>
              </a:solidFill>
              <a:round/>
            </a:ln>
            <a:effectLst/>
          </c:spPr>
          <c:marker>
            <c:symbol val="circle"/>
            <c:size val="5"/>
            <c:spPr>
              <a:solidFill>
                <a:schemeClr val="tx1"/>
              </a:solidFill>
              <a:ln w="9525">
                <a:solidFill>
                  <a:sysClr val="windowText" lastClr="000000"/>
                </a:solidFill>
              </a:ln>
              <a:effectLst/>
            </c:spPr>
          </c:marker>
          <c:cat>
            <c:strRef>
              <c:f>Monografía!$D$144:$D$159</c:f>
              <c:strCache>
                <c:ptCount val="16"/>
                <c:pt idx="0">
                  <c:v>18</c:v>
                </c:pt>
                <c:pt idx="1">
                  <c:v>19</c:v>
                </c:pt>
                <c:pt idx="2">
                  <c:v>20-24</c:v>
                </c:pt>
                <c:pt idx="3">
                  <c:v>25-29</c:v>
                </c:pt>
                <c:pt idx="4">
                  <c:v>30-34</c:v>
                </c:pt>
                <c:pt idx="5">
                  <c:v>35-39</c:v>
                </c:pt>
                <c:pt idx="6">
                  <c:v>40-44</c:v>
                </c:pt>
                <c:pt idx="7">
                  <c:v>45-49</c:v>
                </c:pt>
                <c:pt idx="8">
                  <c:v>50-54</c:v>
                </c:pt>
                <c:pt idx="9">
                  <c:v>55-59</c:v>
                </c:pt>
                <c:pt idx="10">
                  <c:v>60-64</c:v>
                </c:pt>
                <c:pt idx="11">
                  <c:v>65-69</c:v>
                </c:pt>
                <c:pt idx="12">
                  <c:v>70-74</c:v>
                </c:pt>
                <c:pt idx="13">
                  <c:v>75-79</c:v>
                </c:pt>
                <c:pt idx="14">
                  <c:v>80-84</c:v>
                </c:pt>
                <c:pt idx="15">
                  <c:v>85 o más</c:v>
                </c:pt>
              </c:strCache>
            </c:strRef>
          </c:cat>
          <c:val>
            <c:numRef>
              <c:f>Monografía!$G$144:$G$159</c:f>
              <c:numCache>
                <c:formatCode>#,##0.0_ ;\-#,##0.0\ </c:formatCode>
                <c:ptCount val="16"/>
                <c:pt idx="0">
                  <c:v>49.93506</c:v>
                </c:pt>
                <c:pt idx="1">
                  <c:v>44.86242</c:v>
                </c:pt>
                <c:pt idx="2">
                  <c:v>39.168340000000001</c:v>
                </c:pt>
                <c:pt idx="3">
                  <c:v>38.287569999999995</c:v>
                </c:pt>
                <c:pt idx="4">
                  <c:v>40.88138</c:v>
                </c:pt>
                <c:pt idx="5">
                  <c:v>44.935629999999996</c:v>
                </c:pt>
                <c:pt idx="6">
                  <c:v>49.880929999999999</c:v>
                </c:pt>
                <c:pt idx="7">
                  <c:v>55.342690000000005</c:v>
                </c:pt>
                <c:pt idx="8">
                  <c:v>58.090929999999993</c:v>
                </c:pt>
                <c:pt idx="9">
                  <c:v>62.572980000000001</c:v>
                </c:pt>
                <c:pt idx="10">
                  <c:v>66.042959999999994</c:v>
                </c:pt>
                <c:pt idx="11">
                  <c:v>69.061430000000001</c:v>
                </c:pt>
                <c:pt idx="12">
                  <c:v>68.780540000000002</c:v>
                </c:pt>
                <c:pt idx="13">
                  <c:v>63.077640000000002</c:v>
                </c:pt>
                <c:pt idx="14">
                  <c:v>55.5839</c:v>
                </c:pt>
                <c:pt idx="15">
                  <c:v>39.428789999999999</c:v>
                </c:pt>
              </c:numCache>
            </c:numRef>
          </c:val>
          <c:smooth val="0"/>
          <c:extLst>
            <c:ext xmlns:c16="http://schemas.microsoft.com/office/drawing/2014/chart" uri="{C3380CC4-5D6E-409C-BE32-E72D297353CC}">
              <c16:uniqueId val="{00000027-20A6-4C72-A716-1C20AAEDEE6F}"/>
            </c:ext>
          </c:extLst>
        </c:ser>
        <c:dLbls>
          <c:showLegendKey val="0"/>
          <c:showVal val="0"/>
          <c:showCatName val="0"/>
          <c:showSerName val="0"/>
          <c:showPercent val="0"/>
          <c:showBubbleSize val="0"/>
        </c:dLbls>
        <c:marker val="1"/>
        <c:smooth val="0"/>
        <c:axId val="175060288"/>
        <c:axId val="175059872"/>
      </c:lineChart>
      <c:catAx>
        <c:axId val="175060288"/>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es-MX"/>
                  <a:t>Grupo de edad</a:t>
                </a:r>
              </a:p>
            </c:rich>
          </c:tx>
          <c:layout>
            <c:manualLayout>
              <c:xMode val="edge"/>
              <c:yMode val="edge"/>
              <c:x val="0.44239622947509871"/>
              <c:y val="0.88577611365012943"/>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title>
        <c:numFmt formatCode="General" sourceLinked="1"/>
        <c:majorTickMark val="in"/>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crossAx val="175059872"/>
        <c:crosses val="autoZero"/>
        <c:auto val="1"/>
        <c:lblAlgn val="ctr"/>
        <c:lblOffset val="100"/>
        <c:noMultiLvlLbl val="0"/>
      </c:catAx>
      <c:valAx>
        <c:axId val="175059872"/>
        <c:scaling>
          <c:orientation val="minMax"/>
          <c:max val="100"/>
        </c:scaling>
        <c:delete val="0"/>
        <c:axPos val="l"/>
        <c:majorGridlines>
          <c:spPr>
            <a:ln w="9525" cap="flat" cmpd="sng" algn="ctr">
              <a:solidFill>
                <a:schemeClr val="tx1">
                  <a:lumMod val="15000"/>
                  <a:lumOff val="85000"/>
                </a:schemeClr>
              </a:solidFill>
              <a:round/>
            </a:ln>
            <a:effectLst/>
          </c:spPr>
        </c:majorGridlines>
        <c:numFmt formatCode="#,##0.0_ ;\-#,##0.0\ "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crossAx val="175060288"/>
        <c:crosses val="autoZero"/>
        <c:crossBetween val="between"/>
      </c:valAx>
      <c:spPr>
        <a:noFill/>
        <a:ln>
          <a:noFill/>
        </a:ln>
        <a:effectLst/>
      </c:spPr>
    </c:plotArea>
    <c:legend>
      <c:legendPos val="b"/>
      <c:layout>
        <c:manualLayout>
          <c:xMode val="edge"/>
          <c:yMode val="edge"/>
          <c:x val="0.30554027777777776"/>
          <c:y val="0.94109512942165641"/>
          <c:w val="0.42529574074074072"/>
          <c:h val="5.8904861111111109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legend>
    <c:plotVisOnly val="1"/>
    <c:dispBlanksAs val="gap"/>
    <c:showDLblsOverMax val="0"/>
  </c:chart>
  <c:spPr>
    <a:solidFill>
      <a:schemeClr val="bg1"/>
    </a:solidFill>
    <a:ln w="9525" cap="flat" cmpd="sng" algn="ctr">
      <a:noFill/>
      <a:round/>
    </a:ln>
    <a:effectLst/>
  </c:spPr>
  <c:txPr>
    <a:bodyPr/>
    <a:lstStyle/>
    <a:p>
      <a:pPr>
        <a:defRPr sz="800">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886684027777778"/>
          <c:y val="3.8189432707868606E-2"/>
          <c:w val="0.84210260416666671"/>
          <c:h val="0.81147514543148314"/>
        </c:manualLayout>
      </c:layout>
      <c:barChart>
        <c:barDir val="col"/>
        <c:grouping val="clustered"/>
        <c:varyColors val="0"/>
        <c:ser>
          <c:idx val="2"/>
          <c:order val="0"/>
          <c:spPr>
            <a:solidFill>
              <a:srgbClr val="D6009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Monografía!$D$189:$H$189</c:f>
              <c:strCache>
                <c:ptCount val="5"/>
                <c:pt idx="0">
                  <c:v>Mixta</c:v>
                </c:pt>
                <c:pt idx="1">
                  <c:v>Rural</c:v>
                </c:pt>
                <c:pt idx="2">
                  <c:v>No urbana</c:v>
                </c:pt>
                <c:pt idx="3">
                  <c:v>Urbana</c:v>
                </c:pt>
                <c:pt idx="4">
                  <c:v>Total</c:v>
                </c:pt>
              </c:strCache>
            </c:strRef>
          </c:cat>
          <c:val>
            <c:numRef>
              <c:f>Monografía!$D$191:$H$191</c:f>
              <c:numCache>
                <c:formatCode>#,##0.0_ ;\-#,##0.0\ </c:formatCode>
                <c:ptCount val="5"/>
                <c:pt idx="0">
                  <c:v>50.472353400000003</c:v>
                </c:pt>
                <c:pt idx="1">
                  <c:v>59.279132199999992</c:v>
                </c:pt>
                <c:pt idx="2">
                  <c:v>53.880969999999998</c:v>
                </c:pt>
                <c:pt idx="3">
                  <c:v>48.03687</c:v>
                </c:pt>
                <c:pt idx="4">
                  <c:v>49.582969999999996</c:v>
                </c:pt>
              </c:numCache>
            </c:numRef>
          </c:val>
          <c:extLst>
            <c:ext xmlns:c16="http://schemas.microsoft.com/office/drawing/2014/chart" uri="{C3380CC4-5D6E-409C-BE32-E72D297353CC}">
              <c16:uniqueId val="{00000000-DE2A-4660-9C3A-9829151F508C}"/>
            </c:ext>
          </c:extLst>
        </c:ser>
        <c:dLbls>
          <c:showLegendKey val="0"/>
          <c:showVal val="0"/>
          <c:showCatName val="0"/>
          <c:showSerName val="0"/>
          <c:showPercent val="0"/>
          <c:showBubbleSize val="0"/>
        </c:dLbls>
        <c:gapWidth val="25"/>
        <c:axId val="175060288"/>
        <c:axId val="175059872"/>
      </c:barChart>
      <c:catAx>
        <c:axId val="175060288"/>
        <c:scaling>
          <c:orientation val="minMax"/>
        </c:scaling>
        <c:delete val="0"/>
        <c:axPos val="b"/>
        <c:numFmt formatCode="General" sourceLinked="1"/>
        <c:majorTickMark val="in"/>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crossAx val="175059872"/>
        <c:crosses val="autoZero"/>
        <c:auto val="1"/>
        <c:lblAlgn val="ctr"/>
        <c:lblOffset val="100"/>
        <c:noMultiLvlLbl val="0"/>
      </c:catAx>
      <c:valAx>
        <c:axId val="175059872"/>
        <c:scaling>
          <c:orientation val="minMax"/>
        </c:scaling>
        <c:delete val="1"/>
        <c:axPos val="l"/>
        <c:numFmt formatCode="#,##0.0_ ;\-#,##0.0\ " sourceLinked="1"/>
        <c:majorTickMark val="none"/>
        <c:minorTickMark val="none"/>
        <c:tickLblPos val="nextTo"/>
        <c:crossAx val="175060288"/>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sz="800">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886684027777778"/>
          <c:y val="3.8189432707868606E-2"/>
          <c:w val="0.84210260416666671"/>
          <c:h val="0.78606222506811807"/>
        </c:manualLayout>
      </c:layout>
      <c:lineChart>
        <c:grouping val="standard"/>
        <c:varyColors val="0"/>
        <c:ser>
          <c:idx val="2"/>
          <c:order val="0"/>
          <c:tx>
            <c:strRef>
              <c:f>Monografía!$E$210</c:f>
              <c:strCache>
                <c:ptCount val="1"/>
                <c:pt idx="0">
                  <c:v>No urbana</c:v>
                </c:pt>
              </c:strCache>
            </c:strRef>
          </c:tx>
          <c:spPr>
            <a:ln w="28575" cap="rnd">
              <a:solidFill>
                <a:schemeClr val="bg1">
                  <a:lumMod val="75000"/>
                </a:schemeClr>
              </a:solidFill>
              <a:round/>
            </a:ln>
            <a:effectLst/>
          </c:spPr>
          <c:marker>
            <c:symbol val="circle"/>
            <c:size val="5"/>
            <c:spPr>
              <a:solidFill>
                <a:schemeClr val="bg1">
                  <a:lumMod val="75000"/>
                </a:schemeClr>
              </a:solidFill>
              <a:ln w="9525">
                <a:solidFill>
                  <a:schemeClr val="bg1">
                    <a:lumMod val="75000"/>
                  </a:schemeClr>
                </a:solidFill>
              </a:ln>
              <a:effectLst/>
            </c:spPr>
          </c:marker>
          <c:cat>
            <c:strRef>
              <c:f>Monografía!$D$214:$D$229</c:f>
              <c:strCache>
                <c:ptCount val="16"/>
                <c:pt idx="0">
                  <c:v>18</c:v>
                </c:pt>
                <c:pt idx="1">
                  <c:v>19</c:v>
                </c:pt>
                <c:pt idx="2">
                  <c:v>20-24</c:v>
                </c:pt>
                <c:pt idx="3">
                  <c:v>25-29</c:v>
                </c:pt>
                <c:pt idx="4">
                  <c:v>30-34</c:v>
                </c:pt>
                <c:pt idx="5">
                  <c:v>35-39</c:v>
                </c:pt>
                <c:pt idx="6">
                  <c:v>40-44</c:v>
                </c:pt>
                <c:pt idx="7">
                  <c:v>45-49</c:v>
                </c:pt>
                <c:pt idx="8">
                  <c:v>50-54</c:v>
                </c:pt>
                <c:pt idx="9">
                  <c:v>55-59</c:v>
                </c:pt>
                <c:pt idx="10">
                  <c:v>60-64</c:v>
                </c:pt>
                <c:pt idx="11">
                  <c:v>65-69</c:v>
                </c:pt>
                <c:pt idx="12">
                  <c:v>70-74</c:v>
                </c:pt>
                <c:pt idx="13">
                  <c:v>75-79</c:v>
                </c:pt>
                <c:pt idx="14">
                  <c:v>80-84</c:v>
                </c:pt>
                <c:pt idx="15">
                  <c:v>85 o más</c:v>
                </c:pt>
              </c:strCache>
            </c:strRef>
          </c:cat>
          <c:val>
            <c:numRef>
              <c:f>Monografía!$E$214:$E$229</c:f>
              <c:numCache>
                <c:formatCode>#,##0.0_ ;\-#,##0.0\ </c:formatCode>
                <c:ptCount val="16"/>
                <c:pt idx="0">
                  <c:v>56.133679999999998</c:v>
                </c:pt>
                <c:pt idx="1">
                  <c:v>48.88485</c:v>
                </c:pt>
                <c:pt idx="2">
                  <c:v>45.449550000000002</c:v>
                </c:pt>
                <c:pt idx="3">
                  <c:v>44.592419999999997</c:v>
                </c:pt>
                <c:pt idx="4">
                  <c:v>46.696649999999998</c:v>
                </c:pt>
                <c:pt idx="5">
                  <c:v>52.552100000000003</c:v>
                </c:pt>
                <c:pt idx="6">
                  <c:v>55.368189999999998</c:v>
                </c:pt>
                <c:pt idx="7">
                  <c:v>59.901470000000003</c:v>
                </c:pt>
                <c:pt idx="8">
                  <c:v>61.676839999999999</c:v>
                </c:pt>
                <c:pt idx="9">
                  <c:v>66.192880000000002</c:v>
                </c:pt>
                <c:pt idx="10">
                  <c:v>66.116280000000003</c:v>
                </c:pt>
                <c:pt idx="11">
                  <c:v>67.661829999999995</c:v>
                </c:pt>
                <c:pt idx="12">
                  <c:v>69.792360000000002</c:v>
                </c:pt>
                <c:pt idx="13">
                  <c:v>64.592259999999996</c:v>
                </c:pt>
                <c:pt idx="14">
                  <c:v>57.509140000000002</c:v>
                </c:pt>
                <c:pt idx="15">
                  <c:v>48.213250000000002</c:v>
                </c:pt>
              </c:numCache>
            </c:numRef>
          </c:val>
          <c:smooth val="0"/>
          <c:extLst>
            <c:ext xmlns:c16="http://schemas.microsoft.com/office/drawing/2014/chart" uri="{C3380CC4-5D6E-409C-BE32-E72D297353CC}">
              <c16:uniqueId val="{00000000-EADC-465D-A3C1-3A0F64630FC6}"/>
            </c:ext>
          </c:extLst>
        </c:ser>
        <c:ser>
          <c:idx val="0"/>
          <c:order val="1"/>
          <c:tx>
            <c:strRef>
              <c:f>Monografía!$F$210</c:f>
              <c:strCache>
                <c:ptCount val="1"/>
                <c:pt idx="0">
                  <c:v>Urbana</c:v>
                </c:pt>
              </c:strCache>
            </c:strRef>
          </c:tx>
          <c:spPr>
            <a:ln w="28575" cap="rnd">
              <a:solidFill>
                <a:sysClr val="windowText" lastClr="000000"/>
              </a:solidFill>
              <a:round/>
            </a:ln>
            <a:effectLst/>
          </c:spPr>
          <c:marker>
            <c:symbol val="circle"/>
            <c:size val="5"/>
            <c:spPr>
              <a:solidFill>
                <a:schemeClr val="tx1"/>
              </a:solidFill>
              <a:ln w="9525">
                <a:solidFill>
                  <a:sysClr val="windowText" lastClr="000000"/>
                </a:solidFill>
              </a:ln>
              <a:effectLst/>
            </c:spPr>
          </c:marker>
          <c:cat>
            <c:strRef>
              <c:f>Monografía!$D$214:$D$229</c:f>
              <c:strCache>
                <c:ptCount val="16"/>
                <c:pt idx="0">
                  <c:v>18</c:v>
                </c:pt>
                <c:pt idx="1">
                  <c:v>19</c:v>
                </c:pt>
                <c:pt idx="2">
                  <c:v>20-24</c:v>
                </c:pt>
                <c:pt idx="3">
                  <c:v>25-29</c:v>
                </c:pt>
                <c:pt idx="4">
                  <c:v>30-34</c:v>
                </c:pt>
                <c:pt idx="5">
                  <c:v>35-39</c:v>
                </c:pt>
                <c:pt idx="6">
                  <c:v>40-44</c:v>
                </c:pt>
                <c:pt idx="7">
                  <c:v>45-49</c:v>
                </c:pt>
                <c:pt idx="8">
                  <c:v>50-54</c:v>
                </c:pt>
                <c:pt idx="9">
                  <c:v>55-59</c:v>
                </c:pt>
                <c:pt idx="10">
                  <c:v>60-64</c:v>
                </c:pt>
                <c:pt idx="11">
                  <c:v>65-69</c:v>
                </c:pt>
                <c:pt idx="12">
                  <c:v>70-74</c:v>
                </c:pt>
                <c:pt idx="13">
                  <c:v>75-79</c:v>
                </c:pt>
                <c:pt idx="14">
                  <c:v>80-84</c:v>
                </c:pt>
                <c:pt idx="15">
                  <c:v>85 o más</c:v>
                </c:pt>
              </c:strCache>
            </c:strRef>
          </c:cat>
          <c:val>
            <c:numRef>
              <c:f>Monografía!$F$214:$F$229</c:f>
              <c:numCache>
                <c:formatCode>#,##0.0_ ;\-#,##0.0\ </c:formatCode>
                <c:ptCount val="16"/>
                <c:pt idx="0">
                  <c:v>47.134320000000002</c:v>
                </c:pt>
                <c:pt idx="1">
                  <c:v>43.117060000000002</c:v>
                </c:pt>
                <c:pt idx="2">
                  <c:v>36.751350000000002</c:v>
                </c:pt>
                <c:pt idx="3">
                  <c:v>35.961569999999995</c:v>
                </c:pt>
                <c:pt idx="4">
                  <c:v>38.65737</c:v>
                </c:pt>
                <c:pt idx="5">
                  <c:v>41.879040000000003</c:v>
                </c:pt>
                <c:pt idx="6">
                  <c:v>47.726860000000002</c:v>
                </c:pt>
                <c:pt idx="7">
                  <c:v>53.667980000000007</c:v>
                </c:pt>
                <c:pt idx="8">
                  <c:v>56.87632</c:v>
                </c:pt>
                <c:pt idx="9">
                  <c:v>61.36741</c:v>
                </c:pt>
                <c:pt idx="10">
                  <c:v>66.022750000000002</c:v>
                </c:pt>
                <c:pt idx="11">
                  <c:v>69.419589999999999</c:v>
                </c:pt>
                <c:pt idx="12">
                  <c:v>68.511870000000002</c:v>
                </c:pt>
                <c:pt idx="13">
                  <c:v>62.626040000000003</c:v>
                </c:pt>
                <c:pt idx="14">
                  <c:v>55.062560000000005</c:v>
                </c:pt>
                <c:pt idx="15">
                  <c:v>37.04318</c:v>
                </c:pt>
              </c:numCache>
            </c:numRef>
          </c:val>
          <c:smooth val="0"/>
          <c:extLst>
            <c:ext xmlns:c16="http://schemas.microsoft.com/office/drawing/2014/chart" uri="{C3380CC4-5D6E-409C-BE32-E72D297353CC}">
              <c16:uniqueId val="{00000003-EADC-465D-A3C1-3A0F64630FC6}"/>
            </c:ext>
          </c:extLst>
        </c:ser>
        <c:ser>
          <c:idx val="1"/>
          <c:order val="2"/>
          <c:tx>
            <c:strRef>
              <c:f>Monografía!$G$210</c:f>
              <c:strCache>
                <c:ptCount val="1"/>
                <c:pt idx="0">
                  <c:v>Total</c:v>
                </c:pt>
              </c:strCache>
            </c:strRef>
          </c:tx>
          <c:spPr>
            <a:ln w="28575" cap="rnd">
              <a:solidFill>
                <a:srgbClr val="D60093"/>
              </a:solidFill>
              <a:round/>
            </a:ln>
            <a:effectLst/>
          </c:spPr>
          <c:marker>
            <c:symbol val="circle"/>
            <c:size val="5"/>
            <c:spPr>
              <a:solidFill>
                <a:srgbClr val="D60093"/>
              </a:solidFill>
              <a:ln w="9525">
                <a:solidFill>
                  <a:srgbClr val="D60093"/>
                </a:solidFill>
              </a:ln>
              <a:effectLst/>
            </c:spPr>
          </c:marker>
          <c:cat>
            <c:strRef>
              <c:f>Monografía!$D$214:$D$229</c:f>
              <c:strCache>
                <c:ptCount val="16"/>
                <c:pt idx="0">
                  <c:v>18</c:v>
                </c:pt>
                <c:pt idx="1">
                  <c:v>19</c:v>
                </c:pt>
                <c:pt idx="2">
                  <c:v>20-24</c:v>
                </c:pt>
                <c:pt idx="3">
                  <c:v>25-29</c:v>
                </c:pt>
                <c:pt idx="4">
                  <c:v>30-34</c:v>
                </c:pt>
                <c:pt idx="5">
                  <c:v>35-39</c:v>
                </c:pt>
                <c:pt idx="6">
                  <c:v>40-44</c:v>
                </c:pt>
                <c:pt idx="7">
                  <c:v>45-49</c:v>
                </c:pt>
                <c:pt idx="8">
                  <c:v>50-54</c:v>
                </c:pt>
                <c:pt idx="9">
                  <c:v>55-59</c:v>
                </c:pt>
                <c:pt idx="10">
                  <c:v>60-64</c:v>
                </c:pt>
                <c:pt idx="11">
                  <c:v>65-69</c:v>
                </c:pt>
                <c:pt idx="12">
                  <c:v>70-74</c:v>
                </c:pt>
                <c:pt idx="13">
                  <c:v>75-79</c:v>
                </c:pt>
                <c:pt idx="14">
                  <c:v>80-84</c:v>
                </c:pt>
                <c:pt idx="15">
                  <c:v>85 o más</c:v>
                </c:pt>
              </c:strCache>
            </c:strRef>
          </c:cat>
          <c:val>
            <c:numRef>
              <c:f>Monografía!$G$214:$G$229</c:f>
              <c:numCache>
                <c:formatCode>#,##0.0_ ;\-#,##0.0\ </c:formatCode>
                <c:ptCount val="16"/>
                <c:pt idx="0">
                  <c:v>49.93506</c:v>
                </c:pt>
                <c:pt idx="1">
                  <c:v>44.86242</c:v>
                </c:pt>
                <c:pt idx="2">
                  <c:v>39.168340000000001</c:v>
                </c:pt>
                <c:pt idx="3">
                  <c:v>38.287569999999995</c:v>
                </c:pt>
                <c:pt idx="4">
                  <c:v>40.88138</c:v>
                </c:pt>
                <c:pt idx="5">
                  <c:v>44.935629999999996</c:v>
                </c:pt>
                <c:pt idx="6">
                  <c:v>49.880929999999999</c:v>
                </c:pt>
                <c:pt idx="7">
                  <c:v>55.342690000000005</c:v>
                </c:pt>
                <c:pt idx="8">
                  <c:v>58.090929999999993</c:v>
                </c:pt>
                <c:pt idx="9">
                  <c:v>62.572980000000001</c:v>
                </c:pt>
                <c:pt idx="10">
                  <c:v>66.042959999999994</c:v>
                </c:pt>
                <c:pt idx="11">
                  <c:v>69.061430000000001</c:v>
                </c:pt>
                <c:pt idx="12">
                  <c:v>68.780540000000002</c:v>
                </c:pt>
                <c:pt idx="13">
                  <c:v>63.077640000000002</c:v>
                </c:pt>
                <c:pt idx="14">
                  <c:v>55.5839</c:v>
                </c:pt>
                <c:pt idx="15">
                  <c:v>39.428789999999999</c:v>
                </c:pt>
              </c:numCache>
            </c:numRef>
          </c:val>
          <c:smooth val="0"/>
          <c:extLst>
            <c:ext xmlns:c16="http://schemas.microsoft.com/office/drawing/2014/chart" uri="{C3380CC4-5D6E-409C-BE32-E72D297353CC}">
              <c16:uniqueId val="{00000004-EADC-465D-A3C1-3A0F64630FC6}"/>
            </c:ext>
          </c:extLst>
        </c:ser>
        <c:dLbls>
          <c:showLegendKey val="0"/>
          <c:showVal val="0"/>
          <c:showCatName val="0"/>
          <c:showSerName val="0"/>
          <c:showPercent val="0"/>
          <c:showBubbleSize val="0"/>
        </c:dLbls>
        <c:marker val="1"/>
        <c:smooth val="0"/>
        <c:axId val="175060288"/>
        <c:axId val="175059872"/>
      </c:lineChart>
      <c:catAx>
        <c:axId val="175060288"/>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es-MX"/>
                  <a:t>Grupo de edad</a:t>
                </a:r>
              </a:p>
            </c:rich>
          </c:tx>
          <c:layout>
            <c:manualLayout>
              <c:xMode val="edge"/>
              <c:yMode val="edge"/>
              <c:x val="0.44449795288829752"/>
              <c:y val="0.8917177760657935"/>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title>
        <c:numFmt formatCode="General" sourceLinked="1"/>
        <c:majorTickMark val="in"/>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crossAx val="175059872"/>
        <c:crosses val="autoZero"/>
        <c:auto val="1"/>
        <c:lblAlgn val="ctr"/>
        <c:lblOffset val="100"/>
        <c:noMultiLvlLbl val="0"/>
      </c:catAx>
      <c:valAx>
        <c:axId val="175059872"/>
        <c:scaling>
          <c:orientation val="minMax"/>
        </c:scaling>
        <c:delete val="0"/>
        <c:axPos val="l"/>
        <c:majorGridlines>
          <c:spPr>
            <a:ln w="9525" cap="flat" cmpd="sng" algn="ctr">
              <a:solidFill>
                <a:schemeClr val="tx1">
                  <a:lumMod val="15000"/>
                  <a:lumOff val="85000"/>
                </a:schemeClr>
              </a:solidFill>
              <a:round/>
            </a:ln>
            <a:effectLst/>
          </c:spPr>
        </c:majorGridlines>
        <c:numFmt formatCode="#,##0.0_ ;\-#,##0.0\ "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crossAx val="175060288"/>
        <c:crosses val="autoZero"/>
        <c:crossBetween val="between"/>
      </c:valAx>
      <c:spPr>
        <a:noFill/>
        <a:ln>
          <a:noFill/>
        </a:ln>
        <a:effectLst/>
      </c:spPr>
    </c:plotArea>
    <c:legend>
      <c:legendPos val="b"/>
      <c:layout>
        <c:manualLayout>
          <c:xMode val="edge"/>
          <c:yMode val="edge"/>
          <c:x val="0.30554027777777776"/>
          <c:y val="0.94109512942165641"/>
          <c:w val="0.4058451388888889"/>
          <c:h val="5.8904861111111109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legend>
    <c:plotVisOnly val="1"/>
    <c:dispBlanksAs val="gap"/>
    <c:showDLblsOverMax val="0"/>
  </c:chart>
  <c:spPr>
    <a:solidFill>
      <a:schemeClr val="bg1"/>
    </a:solidFill>
    <a:ln w="9525" cap="flat" cmpd="sng" algn="ctr">
      <a:noFill/>
      <a:round/>
    </a:ln>
    <a:effectLst/>
  </c:spPr>
  <c:txPr>
    <a:bodyPr/>
    <a:lstStyle/>
    <a:p>
      <a:pPr>
        <a:defRPr sz="800">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886684027777778"/>
          <c:y val="3.8189432707868606E-2"/>
          <c:w val="0.84210260416666671"/>
          <c:h val="0.78350311106216619"/>
        </c:manualLayout>
      </c:layout>
      <c:lineChart>
        <c:grouping val="standard"/>
        <c:varyColors val="0"/>
        <c:ser>
          <c:idx val="2"/>
          <c:order val="0"/>
          <c:tx>
            <c:strRef>
              <c:f>Monografía!$Q$140</c:f>
              <c:strCache>
                <c:ptCount val="1"/>
                <c:pt idx="0">
                  <c:v>Mujeres</c:v>
                </c:pt>
              </c:strCache>
            </c:strRef>
          </c:tx>
          <c:spPr>
            <a:ln w="28575" cap="rnd">
              <a:solidFill>
                <a:srgbClr val="D60093"/>
              </a:solidFill>
              <a:round/>
            </a:ln>
            <a:effectLst/>
          </c:spPr>
          <c:marker>
            <c:symbol val="circle"/>
            <c:size val="5"/>
            <c:spPr>
              <a:solidFill>
                <a:srgbClr val="D60093"/>
              </a:solidFill>
              <a:ln w="9525">
                <a:solidFill>
                  <a:srgbClr val="D60093"/>
                </a:solidFill>
              </a:ln>
              <a:effectLst/>
            </c:spPr>
          </c:marker>
          <c:cat>
            <c:strRef>
              <c:f>Monografía!$P$144:$P$159</c:f>
              <c:strCache>
                <c:ptCount val="16"/>
                <c:pt idx="0">
                  <c:v>18</c:v>
                </c:pt>
                <c:pt idx="1">
                  <c:v>19</c:v>
                </c:pt>
                <c:pt idx="2">
                  <c:v>20-24</c:v>
                </c:pt>
                <c:pt idx="3">
                  <c:v>25-29</c:v>
                </c:pt>
                <c:pt idx="4">
                  <c:v>30-34</c:v>
                </c:pt>
                <c:pt idx="5">
                  <c:v>35-39</c:v>
                </c:pt>
                <c:pt idx="6">
                  <c:v>40-44</c:v>
                </c:pt>
                <c:pt idx="7">
                  <c:v>45-49</c:v>
                </c:pt>
                <c:pt idx="8">
                  <c:v>50-54</c:v>
                </c:pt>
                <c:pt idx="9">
                  <c:v>55-59</c:v>
                </c:pt>
                <c:pt idx="10">
                  <c:v>60-64</c:v>
                </c:pt>
                <c:pt idx="11">
                  <c:v>65-69</c:v>
                </c:pt>
                <c:pt idx="12">
                  <c:v>70-74</c:v>
                </c:pt>
                <c:pt idx="13">
                  <c:v>75-79</c:v>
                </c:pt>
                <c:pt idx="14">
                  <c:v>80-84</c:v>
                </c:pt>
                <c:pt idx="15">
                  <c:v>85 o más</c:v>
                </c:pt>
              </c:strCache>
            </c:strRef>
          </c:cat>
          <c:val>
            <c:numRef>
              <c:f>Monografía!$Q$144:$Q$159</c:f>
              <c:numCache>
                <c:formatCode>#,##0.0_ ;\-#,##0.0\ </c:formatCode>
                <c:ptCount val="16"/>
                <c:pt idx="0">
                  <c:v>59</c:v>
                </c:pt>
                <c:pt idx="1">
                  <c:v>52.6</c:v>
                </c:pt>
                <c:pt idx="2">
                  <c:v>46.270209999999999</c:v>
                </c:pt>
                <c:pt idx="3">
                  <c:v>45.031870000000005</c:v>
                </c:pt>
                <c:pt idx="4">
                  <c:v>48.756970000000003</c:v>
                </c:pt>
                <c:pt idx="5">
                  <c:v>53.598040000000005</c:v>
                </c:pt>
                <c:pt idx="6">
                  <c:v>58.091300000000004</c:v>
                </c:pt>
                <c:pt idx="7">
                  <c:v>61.148769999999999</c:v>
                </c:pt>
                <c:pt idx="8">
                  <c:v>63.832199999999993</c:v>
                </c:pt>
                <c:pt idx="9">
                  <c:v>65.433199999999999</c:v>
                </c:pt>
                <c:pt idx="10">
                  <c:v>66.911200000000008</c:v>
                </c:pt>
                <c:pt idx="11">
                  <c:v>68.351050000000001</c:v>
                </c:pt>
                <c:pt idx="12">
                  <c:v>66.155540000000002</c:v>
                </c:pt>
                <c:pt idx="13">
                  <c:v>60.351750000000003</c:v>
                </c:pt>
                <c:pt idx="14">
                  <c:v>50.355830000000005</c:v>
                </c:pt>
                <c:pt idx="15">
                  <c:v>32.210139999999996</c:v>
                </c:pt>
              </c:numCache>
            </c:numRef>
          </c:val>
          <c:smooth val="0"/>
          <c:extLst>
            <c:ext xmlns:c16="http://schemas.microsoft.com/office/drawing/2014/chart" uri="{C3380CC4-5D6E-409C-BE32-E72D297353CC}">
              <c16:uniqueId val="{00000000-8430-4793-B073-07AACEA53FC3}"/>
            </c:ext>
          </c:extLst>
        </c:ser>
        <c:ser>
          <c:idx val="0"/>
          <c:order val="1"/>
          <c:tx>
            <c:strRef>
              <c:f>Monografía!$R$140</c:f>
              <c:strCache>
                <c:ptCount val="1"/>
                <c:pt idx="0">
                  <c:v>Hombres</c:v>
                </c:pt>
              </c:strCache>
            </c:strRef>
          </c:tx>
          <c:spPr>
            <a:ln w="28575" cap="rnd">
              <a:solidFill>
                <a:schemeClr val="bg1">
                  <a:lumMod val="75000"/>
                </a:schemeClr>
              </a:solidFill>
              <a:round/>
            </a:ln>
            <a:effectLst/>
          </c:spPr>
          <c:marker>
            <c:symbol val="circle"/>
            <c:size val="5"/>
            <c:spPr>
              <a:solidFill>
                <a:schemeClr val="bg1">
                  <a:lumMod val="75000"/>
                </a:schemeClr>
              </a:solidFill>
              <a:ln w="9525">
                <a:solidFill>
                  <a:schemeClr val="bg1">
                    <a:lumMod val="75000"/>
                  </a:schemeClr>
                </a:solidFill>
              </a:ln>
              <a:effectLst/>
            </c:spPr>
          </c:marker>
          <c:cat>
            <c:strRef>
              <c:f>Monografía!$P$144:$P$159</c:f>
              <c:strCache>
                <c:ptCount val="16"/>
                <c:pt idx="0">
                  <c:v>18</c:v>
                </c:pt>
                <c:pt idx="1">
                  <c:v>19</c:v>
                </c:pt>
                <c:pt idx="2">
                  <c:v>20-24</c:v>
                </c:pt>
                <c:pt idx="3">
                  <c:v>25-29</c:v>
                </c:pt>
                <c:pt idx="4">
                  <c:v>30-34</c:v>
                </c:pt>
                <c:pt idx="5">
                  <c:v>35-39</c:v>
                </c:pt>
                <c:pt idx="6">
                  <c:v>40-44</c:v>
                </c:pt>
                <c:pt idx="7">
                  <c:v>45-49</c:v>
                </c:pt>
                <c:pt idx="8">
                  <c:v>50-54</c:v>
                </c:pt>
                <c:pt idx="9">
                  <c:v>55-59</c:v>
                </c:pt>
                <c:pt idx="10">
                  <c:v>60-64</c:v>
                </c:pt>
                <c:pt idx="11">
                  <c:v>65-69</c:v>
                </c:pt>
                <c:pt idx="12">
                  <c:v>70-74</c:v>
                </c:pt>
                <c:pt idx="13">
                  <c:v>75-79</c:v>
                </c:pt>
                <c:pt idx="14">
                  <c:v>80-84</c:v>
                </c:pt>
                <c:pt idx="15">
                  <c:v>85 o más</c:v>
                </c:pt>
              </c:strCache>
            </c:strRef>
          </c:cat>
          <c:val>
            <c:numRef>
              <c:f>Monografía!$R$144:$R$159</c:f>
              <c:numCache>
                <c:formatCode>#,##0.0_ ;\-#,##0.0\ </c:formatCode>
                <c:ptCount val="16"/>
                <c:pt idx="0">
                  <c:v>52.5</c:v>
                </c:pt>
                <c:pt idx="1">
                  <c:v>45.2</c:v>
                </c:pt>
                <c:pt idx="2">
                  <c:v>37.175960000000003</c:v>
                </c:pt>
                <c:pt idx="3">
                  <c:v>34.169559999999997</c:v>
                </c:pt>
                <c:pt idx="4">
                  <c:v>37.577950000000001</c:v>
                </c:pt>
                <c:pt idx="5">
                  <c:v>42.222110000000001</c:v>
                </c:pt>
                <c:pt idx="6">
                  <c:v>47.47363</c:v>
                </c:pt>
                <c:pt idx="7">
                  <c:v>52.273139999999998</c:v>
                </c:pt>
                <c:pt idx="8">
                  <c:v>56.382659999999994</c:v>
                </c:pt>
                <c:pt idx="9">
                  <c:v>60.034580000000005</c:v>
                </c:pt>
                <c:pt idx="10">
                  <c:v>64.295659999999998</c:v>
                </c:pt>
                <c:pt idx="11">
                  <c:v>68.46811000000001</c:v>
                </c:pt>
                <c:pt idx="12">
                  <c:v>69.318129999999996</c:v>
                </c:pt>
                <c:pt idx="13">
                  <c:v>65.999989999999997</c:v>
                </c:pt>
                <c:pt idx="14">
                  <c:v>58.963290000000001</c:v>
                </c:pt>
                <c:pt idx="15">
                  <c:v>41.293880000000001</c:v>
                </c:pt>
              </c:numCache>
            </c:numRef>
          </c:val>
          <c:smooth val="0"/>
          <c:extLst>
            <c:ext xmlns:c16="http://schemas.microsoft.com/office/drawing/2014/chart" uri="{C3380CC4-5D6E-409C-BE32-E72D297353CC}">
              <c16:uniqueId val="{00000001-8430-4793-B073-07AACEA53FC3}"/>
            </c:ext>
          </c:extLst>
        </c:ser>
        <c:ser>
          <c:idx val="1"/>
          <c:order val="2"/>
          <c:tx>
            <c:strRef>
              <c:f>Monografía!$S$140</c:f>
              <c:strCache>
                <c:ptCount val="1"/>
                <c:pt idx="0">
                  <c:v>Total</c:v>
                </c:pt>
              </c:strCache>
            </c:strRef>
          </c:tx>
          <c:spPr>
            <a:ln w="28575" cap="rnd">
              <a:solidFill>
                <a:schemeClr val="tx1"/>
              </a:solidFill>
              <a:round/>
            </a:ln>
            <a:effectLst/>
          </c:spPr>
          <c:marker>
            <c:symbol val="circle"/>
            <c:size val="5"/>
            <c:spPr>
              <a:solidFill>
                <a:schemeClr val="tx1"/>
              </a:solidFill>
              <a:ln w="9525">
                <a:solidFill>
                  <a:schemeClr val="tx1"/>
                </a:solidFill>
              </a:ln>
              <a:effectLst/>
            </c:spPr>
          </c:marker>
          <c:cat>
            <c:strRef>
              <c:f>Monografía!$P$144:$P$159</c:f>
              <c:strCache>
                <c:ptCount val="16"/>
                <c:pt idx="0">
                  <c:v>18</c:v>
                </c:pt>
                <c:pt idx="1">
                  <c:v>19</c:v>
                </c:pt>
                <c:pt idx="2">
                  <c:v>20-24</c:v>
                </c:pt>
                <c:pt idx="3">
                  <c:v>25-29</c:v>
                </c:pt>
                <c:pt idx="4">
                  <c:v>30-34</c:v>
                </c:pt>
                <c:pt idx="5">
                  <c:v>35-39</c:v>
                </c:pt>
                <c:pt idx="6">
                  <c:v>40-44</c:v>
                </c:pt>
                <c:pt idx="7">
                  <c:v>45-49</c:v>
                </c:pt>
                <c:pt idx="8">
                  <c:v>50-54</c:v>
                </c:pt>
                <c:pt idx="9">
                  <c:v>55-59</c:v>
                </c:pt>
                <c:pt idx="10">
                  <c:v>60-64</c:v>
                </c:pt>
                <c:pt idx="11">
                  <c:v>65-69</c:v>
                </c:pt>
                <c:pt idx="12">
                  <c:v>70-74</c:v>
                </c:pt>
                <c:pt idx="13">
                  <c:v>75-79</c:v>
                </c:pt>
                <c:pt idx="14">
                  <c:v>80-84</c:v>
                </c:pt>
                <c:pt idx="15">
                  <c:v>85 o más</c:v>
                </c:pt>
              </c:strCache>
            </c:strRef>
          </c:cat>
          <c:val>
            <c:numRef>
              <c:f>Monografía!$S$144:$S$159</c:f>
              <c:numCache>
                <c:formatCode>#,##0.0_ ;\-#,##0.0\ </c:formatCode>
                <c:ptCount val="16"/>
                <c:pt idx="0">
                  <c:v>55.754649999999998</c:v>
                </c:pt>
                <c:pt idx="1">
                  <c:v>48.909689999999998</c:v>
                </c:pt>
                <c:pt idx="2">
                  <c:v>41.726419999999997</c:v>
                </c:pt>
                <c:pt idx="3">
                  <c:v>39.612760000000002</c:v>
                </c:pt>
                <c:pt idx="4">
                  <c:v>43.274210000000004</c:v>
                </c:pt>
                <c:pt idx="5">
                  <c:v>48.080950000000001</c:v>
                </c:pt>
                <c:pt idx="6">
                  <c:v>52.984079999999999</c:v>
                </c:pt>
                <c:pt idx="7">
                  <c:v>56.900720000000007</c:v>
                </c:pt>
                <c:pt idx="8">
                  <c:v>60.303580000000004</c:v>
                </c:pt>
                <c:pt idx="9">
                  <c:v>62.90643</c:v>
                </c:pt>
                <c:pt idx="10">
                  <c:v>65.692039999999992</c:v>
                </c:pt>
                <c:pt idx="11">
                  <c:v>68.405439999999999</c:v>
                </c:pt>
                <c:pt idx="12">
                  <c:v>67.618359999999996</c:v>
                </c:pt>
                <c:pt idx="13">
                  <c:v>62.918819999999997</c:v>
                </c:pt>
                <c:pt idx="14">
                  <c:v>54.135330000000003</c:v>
                </c:pt>
                <c:pt idx="15">
                  <c:v>35.916110000000003</c:v>
                </c:pt>
              </c:numCache>
            </c:numRef>
          </c:val>
          <c:smooth val="0"/>
          <c:extLst>
            <c:ext xmlns:c16="http://schemas.microsoft.com/office/drawing/2014/chart" uri="{C3380CC4-5D6E-409C-BE32-E72D297353CC}">
              <c16:uniqueId val="{00000002-8430-4793-B073-07AACEA53FC3}"/>
            </c:ext>
          </c:extLst>
        </c:ser>
        <c:dLbls>
          <c:showLegendKey val="0"/>
          <c:showVal val="0"/>
          <c:showCatName val="0"/>
          <c:showSerName val="0"/>
          <c:showPercent val="0"/>
          <c:showBubbleSize val="0"/>
        </c:dLbls>
        <c:marker val="1"/>
        <c:smooth val="0"/>
        <c:axId val="175060288"/>
        <c:axId val="175059872"/>
      </c:lineChart>
      <c:catAx>
        <c:axId val="175060288"/>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es-MX"/>
                  <a:t>Grupo de edad</a:t>
                </a:r>
              </a:p>
            </c:rich>
          </c:tx>
          <c:layout>
            <c:manualLayout>
              <c:xMode val="edge"/>
              <c:yMode val="edge"/>
              <c:x val="0.44239622947509871"/>
              <c:y val="0.88577611365012943"/>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title>
        <c:numFmt formatCode="General" sourceLinked="1"/>
        <c:majorTickMark val="in"/>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crossAx val="175059872"/>
        <c:crosses val="autoZero"/>
        <c:auto val="1"/>
        <c:lblAlgn val="ctr"/>
        <c:lblOffset val="100"/>
        <c:noMultiLvlLbl val="0"/>
      </c:catAx>
      <c:valAx>
        <c:axId val="175059872"/>
        <c:scaling>
          <c:orientation val="minMax"/>
          <c:max val="100"/>
        </c:scaling>
        <c:delete val="0"/>
        <c:axPos val="l"/>
        <c:majorGridlines>
          <c:spPr>
            <a:ln w="9525" cap="flat" cmpd="sng" algn="ctr">
              <a:solidFill>
                <a:schemeClr val="tx1">
                  <a:lumMod val="15000"/>
                  <a:lumOff val="85000"/>
                </a:schemeClr>
              </a:solidFill>
              <a:round/>
            </a:ln>
            <a:effectLst/>
          </c:spPr>
        </c:majorGridlines>
        <c:numFmt formatCode="#,##0.0_ ;\-#,##0.0\ "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crossAx val="175060288"/>
        <c:crosses val="autoZero"/>
        <c:crossBetween val="between"/>
      </c:valAx>
      <c:spPr>
        <a:noFill/>
        <a:ln>
          <a:noFill/>
        </a:ln>
        <a:effectLst/>
      </c:spPr>
    </c:plotArea>
    <c:legend>
      <c:legendPos val="b"/>
      <c:layout>
        <c:manualLayout>
          <c:xMode val="edge"/>
          <c:yMode val="edge"/>
          <c:x val="0.30554027777777776"/>
          <c:y val="0.94109512942165641"/>
          <c:w val="0.42529574074074072"/>
          <c:h val="5.8904861111111109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legend>
    <c:plotVisOnly val="1"/>
    <c:dispBlanksAs val="gap"/>
    <c:showDLblsOverMax val="0"/>
  </c:chart>
  <c:spPr>
    <a:solidFill>
      <a:schemeClr val="bg1"/>
    </a:solidFill>
    <a:ln w="9525" cap="flat" cmpd="sng" algn="ctr">
      <a:noFill/>
      <a:round/>
    </a:ln>
    <a:effectLst/>
  </c:spPr>
  <c:txPr>
    <a:bodyPr/>
    <a:lstStyle/>
    <a:p>
      <a:pPr>
        <a:defRPr sz="800">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886684027777778"/>
          <c:y val="3.8189432707868606E-2"/>
          <c:w val="0.84210260416666671"/>
          <c:h val="0.81147514543148314"/>
        </c:manualLayout>
      </c:layout>
      <c:barChart>
        <c:barDir val="col"/>
        <c:grouping val="clustered"/>
        <c:varyColors val="0"/>
        <c:ser>
          <c:idx val="2"/>
          <c:order val="0"/>
          <c:spPr>
            <a:solidFill>
              <a:srgbClr val="D6009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Monografía!$P$189:$T$189</c:f>
              <c:strCache>
                <c:ptCount val="5"/>
                <c:pt idx="0">
                  <c:v>Mixta</c:v>
                </c:pt>
                <c:pt idx="1">
                  <c:v>Rural</c:v>
                </c:pt>
                <c:pt idx="2">
                  <c:v>No urbana</c:v>
                </c:pt>
                <c:pt idx="3">
                  <c:v>Urbana</c:v>
                </c:pt>
                <c:pt idx="4">
                  <c:v>Total</c:v>
                </c:pt>
              </c:strCache>
            </c:strRef>
          </c:cat>
          <c:val>
            <c:numRef>
              <c:f>Monografía!$P$191:$T$191</c:f>
              <c:numCache>
                <c:formatCode>#,##0.0_ ;\-#,##0.0\ </c:formatCode>
                <c:ptCount val="5"/>
                <c:pt idx="0">
                  <c:v>52.122418800000005</c:v>
                </c:pt>
                <c:pt idx="1">
                  <c:v>58.521409499999997</c:v>
                </c:pt>
                <c:pt idx="2">
                  <c:v>55.631299999999996</c:v>
                </c:pt>
                <c:pt idx="3">
                  <c:v>50.137699999999995</c:v>
                </c:pt>
                <c:pt idx="4">
                  <c:v>51.8</c:v>
                </c:pt>
              </c:numCache>
            </c:numRef>
          </c:val>
          <c:extLst>
            <c:ext xmlns:c16="http://schemas.microsoft.com/office/drawing/2014/chart" uri="{C3380CC4-5D6E-409C-BE32-E72D297353CC}">
              <c16:uniqueId val="{00000000-8EC1-4FB2-A18E-4EADD09100F8}"/>
            </c:ext>
          </c:extLst>
        </c:ser>
        <c:dLbls>
          <c:showLegendKey val="0"/>
          <c:showVal val="0"/>
          <c:showCatName val="0"/>
          <c:showSerName val="0"/>
          <c:showPercent val="0"/>
          <c:showBubbleSize val="0"/>
        </c:dLbls>
        <c:gapWidth val="25"/>
        <c:axId val="175060288"/>
        <c:axId val="175059872"/>
      </c:barChart>
      <c:catAx>
        <c:axId val="175060288"/>
        <c:scaling>
          <c:orientation val="minMax"/>
        </c:scaling>
        <c:delete val="0"/>
        <c:axPos val="b"/>
        <c:numFmt formatCode="General" sourceLinked="1"/>
        <c:majorTickMark val="in"/>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crossAx val="175059872"/>
        <c:crosses val="autoZero"/>
        <c:auto val="1"/>
        <c:lblAlgn val="ctr"/>
        <c:lblOffset val="100"/>
        <c:noMultiLvlLbl val="0"/>
      </c:catAx>
      <c:valAx>
        <c:axId val="175059872"/>
        <c:scaling>
          <c:orientation val="minMax"/>
        </c:scaling>
        <c:delete val="1"/>
        <c:axPos val="l"/>
        <c:numFmt formatCode="#,##0.0_ ;\-#,##0.0\ " sourceLinked="1"/>
        <c:majorTickMark val="none"/>
        <c:minorTickMark val="none"/>
        <c:tickLblPos val="nextTo"/>
        <c:crossAx val="175060288"/>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sz="800">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Drop" dropStyle="combo" dx="26" fmlaLink="$D$8" fmlaRange="Catálogo!$A$2:$A$34" sel="1" val="0"/>
</file>

<file path=xl/ctrlProps/ctrlProp2.xml><?xml version="1.0" encoding="utf-8"?>
<formControlPr xmlns="http://schemas.microsoft.com/office/spreadsheetml/2009/9/main" objectType="Drop" dropStyle="combo" dx="26" fmlaLink="$P$8" fmlaRange="Catálogo!$A$2:$A$34" sel="33" val="25"/>
</file>

<file path=xl/drawings/_rels/drawing1.xml.rels><?xml version="1.0" encoding="UTF-8" standalone="yes"?>
<Relationships xmlns="http://schemas.openxmlformats.org/package/2006/relationships"><Relationship Id="rId8" Type="http://schemas.openxmlformats.org/officeDocument/2006/relationships/image" Target="../media/image6.png"/><Relationship Id="rId13" Type="http://schemas.openxmlformats.org/officeDocument/2006/relationships/chart" Target="../charts/chart4.xml"/><Relationship Id="rId18" Type="http://schemas.openxmlformats.org/officeDocument/2006/relationships/chart" Target="../charts/chart7.xml"/><Relationship Id="rId3" Type="http://schemas.openxmlformats.org/officeDocument/2006/relationships/image" Target="../media/image3.png"/><Relationship Id="rId21" Type="http://schemas.openxmlformats.org/officeDocument/2006/relationships/chart" Target="../charts/chart10.xml"/><Relationship Id="rId7" Type="http://schemas.openxmlformats.org/officeDocument/2006/relationships/chart" Target="../charts/chart2.xml"/><Relationship Id="rId12" Type="http://schemas.openxmlformats.org/officeDocument/2006/relationships/chart" Target="../charts/chart3.xml"/><Relationship Id="rId17" Type="http://schemas.openxmlformats.org/officeDocument/2006/relationships/chart" Target="../charts/chart6.xml"/><Relationship Id="rId2" Type="http://schemas.openxmlformats.org/officeDocument/2006/relationships/image" Target="../media/image2.svg"/><Relationship Id="rId16" Type="http://schemas.openxmlformats.org/officeDocument/2006/relationships/chart" Target="../charts/chart5.xml"/><Relationship Id="rId20" Type="http://schemas.openxmlformats.org/officeDocument/2006/relationships/chart" Target="../charts/chart9.xml"/><Relationship Id="rId1" Type="http://schemas.openxmlformats.org/officeDocument/2006/relationships/image" Target="../media/image1.png"/><Relationship Id="rId6" Type="http://schemas.openxmlformats.org/officeDocument/2006/relationships/chart" Target="../charts/chart1.xml"/><Relationship Id="rId11" Type="http://schemas.openxmlformats.org/officeDocument/2006/relationships/image" Target="../media/image9.svg"/><Relationship Id="rId5" Type="http://schemas.openxmlformats.org/officeDocument/2006/relationships/image" Target="../media/image5.emf"/><Relationship Id="rId15" Type="http://schemas.openxmlformats.org/officeDocument/2006/relationships/image" Target="../media/image11.svg"/><Relationship Id="rId10" Type="http://schemas.openxmlformats.org/officeDocument/2006/relationships/image" Target="../media/image8.png"/><Relationship Id="rId19" Type="http://schemas.openxmlformats.org/officeDocument/2006/relationships/chart" Target="../charts/chart8.xml"/><Relationship Id="rId4" Type="http://schemas.openxmlformats.org/officeDocument/2006/relationships/image" Target="../media/image4.svg"/><Relationship Id="rId9" Type="http://schemas.openxmlformats.org/officeDocument/2006/relationships/image" Target="../media/image7.svg"/><Relationship Id="rId14" Type="http://schemas.openxmlformats.org/officeDocument/2006/relationships/image" Target="../media/image10.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7620</xdr:colOff>
          <xdr:row>7</xdr:row>
          <xdr:rowOff>22860</xdr:rowOff>
        </xdr:from>
        <xdr:to>
          <xdr:col>4</xdr:col>
          <xdr:colOff>571500</xdr:colOff>
          <xdr:row>7</xdr:row>
          <xdr:rowOff>213360</xdr:rowOff>
        </xdr:to>
        <xdr:sp macro="" textlink="">
          <xdr:nvSpPr>
            <xdr:cNvPr id="5121" name="Drop Down 1" hidden="1">
              <a:extLst>
                <a:ext uri="{63B3BB69-23CF-44E3-9099-C40C66FF867C}">
                  <a14:compatExt spid="_x0000_s5121"/>
                </a:ext>
                <a:ext uri="{FF2B5EF4-FFF2-40B4-BE49-F238E27FC236}">
                  <a16:creationId xmlns:a16="http://schemas.microsoft.com/office/drawing/2014/main" id="{00000000-0008-0000-0000-0000011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4</xdr:col>
      <xdr:colOff>487680</xdr:colOff>
      <xdr:row>34</xdr:row>
      <xdr:rowOff>45720</xdr:rowOff>
    </xdr:from>
    <xdr:to>
      <xdr:col>6</xdr:col>
      <xdr:colOff>83820</xdr:colOff>
      <xdr:row>40</xdr:row>
      <xdr:rowOff>45720</xdr:rowOff>
    </xdr:to>
    <xdr:pic>
      <xdr:nvPicPr>
        <xdr:cNvPr id="4" name="Gráfico 3" descr="Male profile contorno">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2857500" y="4732020"/>
          <a:ext cx="914400" cy="914400"/>
        </a:xfrm>
        <a:prstGeom prst="rect">
          <a:avLst/>
        </a:prstGeom>
      </xdr:spPr>
    </xdr:pic>
    <xdr:clientData/>
  </xdr:twoCellAnchor>
  <xdr:twoCellAnchor editAs="oneCell">
    <xdr:from>
      <xdr:col>2</xdr:col>
      <xdr:colOff>609600</xdr:colOff>
      <xdr:row>34</xdr:row>
      <xdr:rowOff>45720</xdr:rowOff>
    </xdr:from>
    <xdr:to>
      <xdr:col>4</xdr:col>
      <xdr:colOff>106680</xdr:colOff>
      <xdr:row>40</xdr:row>
      <xdr:rowOff>45720</xdr:rowOff>
    </xdr:to>
    <xdr:pic>
      <xdr:nvPicPr>
        <xdr:cNvPr id="6" name="Gráfico 5" descr="Female Profile contorno">
          <a:extLst>
            <a:ext uri="{FF2B5EF4-FFF2-40B4-BE49-F238E27FC236}">
              <a16:creationId xmlns:a16="http://schemas.microsoft.com/office/drawing/2014/main" id="{00000000-0008-0000-0000-000006000000}"/>
            </a:ext>
          </a:extLst>
        </xdr:cNvPr>
        <xdr:cNvPicPr>
          <a:picLocks noChangeAspect="1"/>
        </xdr:cNvPicPr>
      </xdr:nvPicPr>
      <xdr:blipFill>
        <a:blip xmlns:r="http://schemas.openxmlformats.org/officeDocument/2006/relationships" r:embed="rId3">
          <a:alphaModFix/>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1562100" y="4732020"/>
          <a:ext cx="914400" cy="914400"/>
        </a:xfrm>
        <a:prstGeom prst="rect">
          <a:avLst/>
        </a:prstGeom>
      </xdr:spPr>
    </xdr:pic>
    <xdr:clientData/>
  </xdr:twoCellAnchor>
  <xdr:twoCellAnchor>
    <xdr:from>
      <xdr:col>6</xdr:col>
      <xdr:colOff>38100</xdr:colOff>
      <xdr:row>36</xdr:row>
      <xdr:rowOff>68580</xdr:rowOff>
    </xdr:from>
    <xdr:to>
      <xdr:col>6</xdr:col>
      <xdr:colOff>579120</xdr:colOff>
      <xdr:row>38</xdr:row>
      <xdr:rowOff>76200</xdr:rowOff>
    </xdr:to>
    <xdr:sp macro="" textlink="">
      <xdr:nvSpPr>
        <xdr:cNvPr id="7" name="Es igual a 6">
          <a:extLst>
            <a:ext uri="{FF2B5EF4-FFF2-40B4-BE49-F238E27FC236}">
              <a16:creationId xmlns:a16="http://schemas.microsoft.com/office/drawing/2014/main" id="{00000000-0008-0000-0000-000007000000}"/>
            </a:ext>
          </a:extLst>
        </xdr:cNvPr>
        <xdr:cNvSpPr/>
      </xdr:nvSpPr>
      <xdr:spPr>
        <a:xfrm>
          <a:off x="3726180" y="5013960"/>
          <a:ext cx="541020" cy="403860"/>
        </a:xfrm>
        <a:prstGeom prst="mathEqual">
          <a:avLst/>
        </a:prstGeom>
        <a:solidFill>
          <a:schemeClr val="tx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MX" sz="1100">
            <a:solidFill>
              <a:schemeClr val="tx1"/>
            </a:solidFill>
          </a:endParaRPr>
        </a:p>
      </xdr:txBody>
    </xdr:sp>
    <xdr:clientData/>
  </xdr:twoCellAnchor>
  <xdr:twoCellAnchor>
    <xdr:from>
      <xdr:col>0</xdr:col>
      <xdr:colOff>30480</xdr:colOff>
      <xdr:row>8</xdr:row>
      <xdr:rowOff>83820</xdr:rowOff>
    </xdr:from>
    <xdr:to>
      <xdr:col>22</xdr:col>
      <xdr:colOff>198120</xdr:colOff>
      <xdr:row>11</xdr:row>
      <xdr:rowOff>0</xdr:rowOff>
    </xdr:to>
    <xdr:sp macro="" textlink="">
      <xdr:nvSpPr>
        <xdr:cNvPr id="10" name="Rectángulo: esquinas superiores redondeadas 9">
          <a:extLst>
            <a:ext uri="{FF2B5EF4-FFF2-40B4-BE49-F238E27FC236}">
              <a16:creationId xmlns:a16="http://schemas.microsoft.com/office/drawing/2014/main" id="{00000000-0008-0000-0000-00000A000000}"/>
            </a:ext>
          </a:extLst>
        </xdr:cNvPr>
        <xdr:cNvSpPr/>
      </xdr:nvSpPr>
      <xdr:spPr>
        <a:xfrm>
          <a:off x="30480" y="1082040"/>
          <a:ext cx="13997940" cy="304800"/>
        </a:xfrm>
        <a:prstGeom prst="round2SameRect">
          <a:avLst/>
        </a:prstGeom>
        <a:solidFill>
          <a:srgbClr val="D60093"/>
        </a:solidFill>
        <a:ln>
          <a:solidFill>
            <a:srgbClr val="D60093"/>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s-MX" sz="1200">
              <a:latin typeface="Arial" panose="020B0604020202020204" pitchFamily="34" charset="0"/>
              <a:cs typeface="Arial" panose="020B0604020202020204" pitchFamily="34" charset="0"/>
            </a:rPr>
            <a:t>Aspectos demográficos</a:t>
          </a:r>
        </a:p>
      </xdr:txBody>
    </xdr:sp>
    <xdr:clientData/>
  </xdr:twoCellAnchor>
  <xdr:twoCellAnchor editAs="oneCell">
    <xdr:from>
      <xdr:col>0</xdr:col>
      <xdr:colOff>0</xdr:colOff>
      <xdr:row>0</xdr:row>
      <xdr:rowOff>91440</xdr:rowOff>
    </xdr:from>
    <xdr:to>
      <xdr:col>2</xdr:col>
      <xdr:colOff>667500</xdr:colOff>
      <xdr:row>6</xdr:row>
      <xdr:rowOff>36300</xdr:rowOff>
    </xdr:to>
    <xdr:pic>
      <xdr:nvPicPr>
        <xdr:cNvPr id="13" name="Imagen 12">
          <a:extLst>
            <a:ext uri="{FF2B5EF4-FFF2-40B4-BE49-F238E27FC236}">
              <a16:creationId xmlns:a16="http://schemas.microsoft.com/office/drawing/2014/main" id="{00000000-0008-0000-0000-00000D000000}"/>
            </a:ext>
          </a:extLst>
        </xdr:cNvPr>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0" y="91440"/>
          <a:ext cx="1620000" cy="684000"/>
        </a:xfrm>
        <a:prstGeom prst="rect">
          <a:avLst/>
        </a:prstGeom>
        <a:noFill/>
        <a:ln>
          <a:noFill/>
        </a:ln>
      </xdr:spPr>
    </xdr:pic>
    <xdr:clientData/>
  </xdr:twoCellAnchor>
  <xdr:twoCellAnchor>
    <xdr:from>
      <xdr:col>4</xdr:col>
      <xdr:colOff>0</xdr:colOff>
      <xdr:row>36</xdr:row>
      <xdr:rowOff>15240</xdr:rowOff>
    </xdr:from>
    <xdr:to>
      <xdr:col>5</xdr:col>
      <xdr:colOff>21840</xdr:colOff>
      <xdr:row>39</xdr:row>
      <xdr:rowOff>29460</xdr:rowOff>
    </xdr:to>
    <xdr:sp macro="" textlink="">
      <xdr:nvSpPr>
        <xdr:cNvPr id="11" name="Signo más 10">
          <a:extLst>
            <a:ext uri="{FF2B5EF4-FFF2-40B4-BE49-F238E27FC236}">
              <a16:creationId xmlns:a16="http://schemas.microsoft.com/office/drawing/2014/main" id="{00000000-0008-0000-0000-00000B000000}"/>
            </a:ext>
          </a:extLst>
        </xdr:cNvPr>
        <xdr:cNvSpPr/>
      </xdr:nvSpPr>
      <xdr:spPr>
        <a:xfrm>
          <a:off x="2369820" y="4960620"/>
          <a:ext cx="631440" cy="540000"/>
        </a:xfrm>
        <a:prstGeom prst="mathPlus">
          <a:avLst/>
        </a:prstGeom>
        <a:solidFill>
          <a:schemeClr val="tx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MX" sz="1100"/>
        </a:p>
      </xdr:txBody>
    </xdr:sp>
    <xdr:clientData/>
  </xdr:twoCellAnchor>
  <xdr:twoCellAnchor>
    <xdr:from>
      <xdr:col>4</xdr:col>
      <xdr:colOff>53340</xdr:colOff>
      <xdr:row>45</xdr:row>
      <xdr:rowOff>106680</xdr:rowOff>
    </xdr:from>
    <xdr:to>
      <xdr:col>9</xdr:col>
      <xdr:colOff>1158240</xdr:colOff>
      <xdr:row>68</xdr:row>
      <xdr:rowOff>22860</xdr:rowOff>
    </xdr:to>
    <xdr:graphicFrame macro="">
      <xdr:nvGraphicFramePr>
        <xdr:cNvPr id="2" name="Gráfico 1">
          <a:extLst>
            <a:ext uri="{FF2B5EF4-FFF2-40B4-BE49-F238E27FC236}">
              <a16:creationId xmlns:a16="http://schemas.microsoft.com/office/drawing/2014/main" id="{00000000-0008-0000-00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mc:AlternateContent xmlns:mc="http://schemas.openxmlformats.org/markup-compatibility/2006">
    <mc:Choice xmlns:a14="http://schemas.microsoft.com/office/drawing/2010/main" Requires="a14">
      <xdr:twoCellAnchor editAs="oneCell">
        <xdr:from>
          <xdr:col>14</xdr:col>
          <xdr:colOff>693420</xdr:colOff>
          <xdr:row>7</xdr:row>
          <xdr:rowOff>15240</xdr:rowOff>
        </xdr:from>
        <xdr:to>
          <xdr:col>16</xdr:col>
          <xdr:colOff>548640</xdr:colOff>
          <xdr:row>7</xdr:row>
          <xdr:rowOff>205740</xdr:rowOff>
        </xdr:to>
        <xdr:sp macro="" textlink="">
          <xdr:nvSpPr>
            <xdr:cNvPr id="5122" name="Drop Down 2" hidden="1">
              <a:extLst>
                <a:ext uri="{63B3BB69-23CF-44E3-9099-C40C66FF867C}">
                  <a14:compatExt spid="_x0000_s5122"/>
                </a:ext>
                <a:ext uri="{FF2B5EF4-FFF2-40B4-BE49-F238E27FC236}">
                  <a16:creationId xmlns:a16="http://schemas.microsoft.com/office/drawing/2014/main" id="{00000000-0008-0000-0000-0000021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oneCellAnchor>
    <xdr:from>
      <xdr:col>16</xdr:col>
      <xdr:colOff>502920</xdr:colOff>
      <xdr:row>34</xdr:row>
      <xdr:rowOff>45720</xdr:rowOff>
    </xdr:from>
    <xdr:ext cx="914400" cy="914400"/>
    <xdr:pic>
      <xdr:nvPicPr>
        <xdr:cNvPr id="12" name="Gráfico 11" descr="Male profile contorno">
          <a:extLst>
            <a:ext uri="{FF2B5EF4-FFF2-40B4-BE49-F238E27FC236}">
              <a16:creationId xmlns:a16="http://schemas.microsoft.com/office/drawing/2014/main" id="{00000000-0008-0000-0000-00000C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9928860" y="4732020"/>
          <a:ext cx="914400" cy="914400"/>
        </a:xfrm>
        <a:prstGeom prst="rect">
          <a:avLst/>
        </a:prstGeom>
      </xdr:spPr>
    </xdr:pic>
    <xdr:clientData/>
  </xdr:oneCellAnchor>
  <xdr:oneCellAnchor>
    <xdr:from>
      <xdr:col>14</xdr:col>
      <xdr:colOff>601980</xdr:colOff>
      <xdr:row>34</xdr:row>
      <xdr:rowOff>68580</xdr:rowOff>
    </xdr:from>
    <xdr:ext cx="914400" cy="914400"/>
    <xdr:pic>
      <xdr:nvPicPr>
        <xdr:cNvPr id="14" name="Gráfico 13" descr="Female Profile contorno">
          <a:extLst>
            <a:ext uri="{FF2B5EF4-FFF2-40B4-BE49-F238E27FC236}">
              <a16:creationId xmlns:a16="http://schemas.microsoft.com/office/drawing/2014/main" id="{00000000-0008-0000-0000-00000E00000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8610600" y="4754880"/>
          <a:ext cx="914400" cy="914400"/>
        </a:xfrm>
        <a:prstGeom prst="rect">
          <a:avLst/>
        </a:prstGeom>
      </xdr:spPr>
    </xdr:pic>
    <xdr:clientData/>
  </xdr:oneCellAnchor>
  <xdr:twoCellAnchor>
    <xdr:from>
      <xdr:col>18</xdr:col>
      <xdr:colOff>38100</xdr:colOff>
      <xdr:row>36</xdr:row>
      <xdr:rowOff>68580</xdr:rowOff>
    </xdr:from>
    <xdr:to>
      <xdr:col>18</xdr:col>
      <xdr:colOff>579120</xdr:colOff>
      <xdr:row>38</xdr:row>
      <xdr:rowOff>76200</xdr:rowOff>
    </xdr:to>
    <xdr:sp macro="" textlink="">
      <xdr:nvSpPr>
        <xdr:cNvPr id="15" name="Es igual a 14">
          <a:extLst>
            <a:ext uri="{FF2B5EF4-FFF2-40B4-BE49-F238E27FC236}">
              <a16:creationId xmlns:a16="http://schemas.microsoft.com/office/drawing/2014/main" id="{00000000-0008-0000-0000-00000F000000}"/>
            </a:ext>
          </a:extLst>
        </xdr:cNvPr>
        <xdr:cNvSpPr/>
      </xdr:nvSpPr>
      <xdr:spPr>
        <a:xfrm>
          <a:off x="10782300" y="5013960"/>
          <a:ext cx="541020" cy="403860"/>
        </a:xfrm>
        <a:prstGeom prst="mathEqual">
          <a:avLst/>
        </a:prstGeom>
        <a:solidFill>
          <a:schemeClr val="tx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MX" sz="1100">
            <a:solidFill>
              <a:schemeClr val="tx1"/>
            </a:solidFill>
          </a:endParaRPr>
        </a:p>
      </xdr:txBody>
    </xdr:sp>
    <xdr:clientData/>
  </xdr:twoCellAnchor>
  <xdr:twoCellAnchor>
    <xdr:from>
      <xdr:col>16</xdr:col>
      <xdr:colOff>30480</xdr:colOff>
      <xdr:row>35</xdr:row>
      <xdr:rowOff>121920</xdr:rowOff>
    </xdr:from>
    <xdr:to>
      <xdr:col>16</xdr:col>
      <xdr:colOff>570480</xdr:colOff>
      <xdr:row>39</xdr:row>
      <xdr:rowOff>6600</xdr:rowOff>
    </xdr:to>
    <xdr:sp macro="" textlink="">
      <xdr:nvSpPr>
        <xdr:cNvPr id="16" name="Signo más 15">
          <a:extLst>
            <a:ext uri="{FF2B5EF4-FFF2-40B4-BE49-F238E27FC236}">
              <a16:creationId xmlns:a16="http://schemas.microsoft.com/office/drawing/2014/main" id="{00000000-0008-0000-0000-000010000000}"/>
            </a:ext>
          </a:extLst>
        </xdr:cNvPr>
        <xdr:cNvSpPr/>
      </xdr:nvSpPr>
      <xdr:spPr>
        <a:xfrm>
          <a:off x="9456420" y="4937760"/>
          <a:ext cx="540000" cy="540000"/>
        </a:xfrm>
        <a:prstGeom prst="mathPlus">
          <a:avLst/>
        </a:prstGeom>
        <a:solidFill>
          <a:schemeClr val="tx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MX" sz="1100"/>
        </a:p>
      </xdr:txBody>
    </xdr:sp>
    <xdr:clientData/>
  </xdr:twoCellAnchor>
  <xdr:twoCellAnchor>
    <xdr:from>
      <xdr:col>16</xdr:col>
      <xdr:colOff>106680</xdr:colOff>
      <xdr:row>45</xdr:row>
      <xdr:rowOff>91440</xdr:rowOff>
    </xdr:from>
    <xdr:to>
      <xdr:col>22</xdr:col>
      <xdr:colOff>90600</xdr:colOff>
      <xdr:row>68</xdr:row>
      <xdr:rowOff>8760</xdr:rowOff>
    </xdr:to>
    <xdr:graphicFrame macro="">
      <xdr:nvGraphicFramePr>
        <xdr:cNvPr id="17" name="Gráfico 16">
          <a:extLst>
            <a:ext uri="{FF2B5EF4-FFF2-40B4-BE49-F238E27FC236}">
              <a16:creationId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38100</xdr:colOff>
      <xdr:row>29</xdr:row>
      <xdr:rowOff>106680</xdr:rowOff>
    </xdr:from>
    <xdr:to>
      <xdr:col>22</xdr:col>
      <xdr:colOff>247800</xdr:colOff>
      <xdr:row>31</xdr:row>
      <xdr:rowOff>135600</xdr:rowOff>
    </xdr:to>
    <xdr:sp macro="" textlink="">
      <xdr:nvSpPr>
        <xdr:cNvPr id="20" name="Rectángulo: esquinas superiores redondeadas 19">
          <a:extLst>
            <a:ext uri="{FF2B5EF4-FFF2-40B4-BE49-F238E27FC236}">
              <a16:creationId xmlns:a16="http://schemas.microsoft.com/office/drawing/2014/main" id="{00000000-0008-0000-0000-000014000000}"/>
            </a:ext>
          </a:extLst>
        </xdr:cNvPr>
        <xdr:cNvSpPr/>
      </xdr:nvSpPr>
      <xdr:spPr>
        <a:xfrm>
          <a:off x="38100" y="4008120"/>
          <a:ext cx="14040000" cy="288000"/>
        </a:xfrm>
        <a:prstGeom prst="round2SameRect">
          <a:avLst/>
        </a:prstGeom>
        <a:solidFill>
          <a:schemeClr val="bg1">
            <a:lumMod val="95000"/>
          </a:schemeClr>
        </a:solidFill>
        <a:l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s-MX" sz="1200">
              <a:solidFill>
                <a:srgbClr val="D60093"/>
              </a:solidFill>
              <a:latin typeface="Arial" panose="020B0604020202020204" pitchFamily="34" charset="0"/>
              <a:cs typeface="Arial" panose="020B0604020202020204" pitchFamily="34" charset="0"/>
            </a:rPr>
            <a:t>Población</a:t>
          </a:r>
        </a:p>
      </xdr:txBody>
    </xdr:sp>
    <xdr:clientData/>
  </xdr:twoCellAnchor>
  <xdr:twoCellAnchor>
    <xdr:from>
      <xdr:col>0</xdr:col>
      <xdr:colOff>30480</xdr:colOff>
      <xdr:row>12</xdr:row>
      <xdr:rowOff>99060</xdr:rowOff>
    </xdr:from>
    <xdr:to>
      <xdr:col>22</xdr:col>
      <xdr:colOff>240180</xdr:colOff>
      <xdr:row>14</xdr:row>
      <xdr:rowOff>127980</xdr:rowOff>
    </xdr:to>
    <xdr:sp macro="" textlink="">
      <xdr:nvSpPr>
        <xdr:cNvPr id="23" name="Rectángulo: esquinas superiores redondeadas 22">
          <a:extLst>
            <a:ext uri="{FF2B5EF4-FFF2-40B4-BE49-F238E27FC236}">
              <a16:creationId xmlns:a16="http://schemas.microsoft.com/office/drawing/2014/main" id="{00000000-0008-0000-0000-000017000000}"/>
            </a:ext>
          </a:extLst>
        </xdr:cNvPr>
        <xdr:cNvSpPr/>
      </xdr:nvSpPr>
      <xdr:spPr>
        <a:xfrm>
          <a:off x="30480" y="1615440"/>
          <a:ext cx="14040000" cy="288000"/>
        </a:xfrm>
        <a:prstGeom prst="round2SameRect">
          <a:avLst/>
        </a:prstGeom>
        <a:solidFill>
          <a:schemeClr val="bg1">
            <a:lumMod val="95000"/>
          </a:schemeClr>
        </a:solidFill>
        <a:l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s-MX" sz="1200">
              <a:solidFill>
                <a:srgbClr val="D60093"/>
              </a:solidFill>
              <a:latin typeface="Arial" panose="020B0604020202020204" pitchFamily="34" charset="0"/>
              <a:cs typeface="Arial" panose="020B0604020202020204" pitchFamily="34" charset="0"/>
            </a:rPr>
            <a:t>Territorio</a:t>
          </a:r>
        </a:p>
      </xdr:txBody>
    </xdr:sp>
    <xdr:clientData/>
  </xdr:twoCellAnchor>
  <xdr:twoCellAnchor>
    <xdr:from>
      <xdr:col>0</xdr:col>
      <xdr:colOff>45720</xdr:colOff>
      <xdr:row>75</xdr:row>
      <xdr:rowOff>99060</xdr:rowOff>
    </xdr:from>
    <xdr:to>
      <xdr:col>22</xdr:col>
      <xdr:colOff>255420</xdr:colOff>
      <xdr:row>77</xdr:row>
      <xdr:rowOff>127980</xdr:rowOff>
    </xdr:to>
    <xdr:sp macro="" textlink="">
      <xdr:nvSpPr>
        <xdr:cNvPr id="24" name="Rectángulo: esquinas superiores redondeadas 23">
          <a:extLst>
            <a:ext uri="{FF2B5EF4-FFF2-40B4-BE49-F238E27FC236}">
              <a16:creationId xmlns:a16="http://schemas.microsoft.com/office/drawing/2014/main" id="{00000000-0008-0000-0000-000018000000}"/>
            </a:ext>
          </a:extLst>
        </xdr:cNvPr>
        <xdr:cNvSpPr/>
      </xdr:nvSpPr>
      <xdr:spPr>
        <a:xfrm>
          <a:off x="45720" y="10599420"/>
          <a:ext cx="14040000" cy="288000"/>
        </a:xfrm>
        <a:prstGeom prst="round2SameRect">
          <a:avLst/>
        </a:prstGeom>
        <a:solidFill>
          <a:schemeClr val="bg1">
            <a:lumMod val="95000"/>
          </a:schemeClr>
        </a:solidFill>
        <a:l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s-MX" sz="1200" baseline="0">
              <a:solidFill>
                <a:srgbClr val="D60093"/>
              </a:solidFill>
              <a:latin typeface="Arial" panose="020B0604020202020204" pitchFamily="34" charset="0"/>
              <a:cs typeface="Arial" panose="020B0604020202020204" pitchFamily="34" charset="0"/>
            </a:rPr>
            <a:t>Lista nominal de electores 2021</a:t>
          </a:r>
        </a:p>
      </xdr:txBody>
    </xdr:sp>
    <xdr:clientData/>
  </xdr:twoCellAnchor>
  <xdr:twoCellAnchor>
    <xdr:from>
      <xdr:col>0</xdr:col>
      <xdr:colOff>45720</xdr:colOff>
      <xdr:row>72</xdr:row>
      <xdr:rowOff>0</xdr:rowOff>
    </xdr:from>
    <xdr:to>
      <xdr:col>22</xdr:col>
      <xdr:colOff>255420</xdr:colOff>
      <xdr:row>74</xdr:row>
      <xdr:rowOff>28920</xdr:rowOff>
    </xdr:to>
    <xdr:sp macro="" textlink="">
      <xdr:nvSpPr>
        <xdr:cNvPr id="25" name="Rectángulo: esquinas superiores redondeadas 24">
          <a:extLst>
            <a:ext uri="{FF2B5EF4-FFF2-40B4-BE49-F238E27FC236}">
              <a16:creationId xmlns:a16="http://schemas.microsoft.com/office/drawing/2014/main" id="{00000000-0008-0000-0000-000019000000}"/>
            </a:ext>
          </a:extLst>
        </xdr:cNvPr>
        <xdr:cNvSpPr/>
      </xdr:nvSpPr>
      <xdr:spPr>
        <a:xfrm>
          <a:off x="45720" y="10111740"/>
          <a:ext cx="14040000" cy="288000"/>
        </a:xfrm>
        <a:prstGeom prst="round2SameRect">
          <a:avLst/>
        </a:prstGeom>
        <a:solidFill>
          <a:srgbClr val="D60093"/>
        </a:solidFill>
        <a:ln>
          <a:solidFill>
            <a:srgbClr val="D60093"/>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s-MX" sz="1200">
              <a:latin typeface="Arial" panose="020B0604020202020204" pitchFamily="34" charset="0"/>
              <a:cs typeface="Arial" panose="020B0604020202020204" pitchFamily="34" charset="0"/>
            </a:rPr>
            <a:t>Partipación</a:t>
          </a:r>
          <a:r>
            <a:rPr lang="es-MX" sz="1200" baseline="0">
              <a:latin typeface="Arial" panose="020B0604020202020204" pitchFamily="34" charset="0"/>
              <a:cs typeface="Arial" panose="020B0604020202020204" pitchFamily="34" charset="0"/>
            </a:rPr>
            <a:t> ciudadana</a:t>
          </a:r>
          <a:endParaRPr lang="es-MX" sz="1200">
            <a:latin typeface="Arial" panose="020B0604020202020204" pitchFamily="34" charset="0"/>
            <a:cs typeface="Arial" panose="020B0604020202020204" pitchFamily="34" charset="0"/>
          </a:endParaRPr>
        </a:p>
      </xdr:txBody>
    </xdr:sp>
    <xdr:clientData/>
  </xdr:twoCellAnchor>
  <xdr:oneCellAnchor>
    <xdr:from>
      <xdr:col>4</xdr:col>
      <xdr:colOff>495300</xdr:colOff>
      <xdr:row>79</xdr:row>
      <xdr:rowOff>68580</xdr:rowOff>
    </xdr:from>
    <xdr:ext cx="914400" cy="914400"/>
    <xdr:pic>
      <xdr:nvPicPr>
        <xdr:cNvPr id="26" name="Gráfico 25" descr="Male profile contorno">
          <a:extLst>
            <a:ext uri="{FF2B5EF4-FFF2-40B4-BE49-F238E27FC236}">
              <a16:creationId xmlns:a16="http://schemas.microsoft.com/office/drawing/2014/main" id="{00000000-0008-0000-0000-00001A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2865120" y="10949940"/>
          <a:ext cx="914400" cy="914400"/>
        </a:xfrm>
        <a:prstGeom prst="rect">
          <a:avLst/>
        </a:prstGeom>
      </xdr:spPr>
    </xdr:pic>
    <xdr:clientData/>
  </xdr:oneCellAnchor>
  <xdr:oneCellAnchor>
    <xdr:from>
      <xdr:col>2</xdr:col>
      <xdr:colOff>609600</xdr:colOff>
      <xdr:row>79</xdr:row>
      <xdr:rowOff>83820</xdr:rowOff>
    </xdr:from>
    <xdr:ext cx="914400" cy="914400"/>
    <xdr:pic>
      <xdr:nvPicPr>
        <xdr:cNvPr id="27" name="Gráfico 26" descr="Female Profile contorno">
          <a:extLst>
            <a:ext uri="{FF2B5EF4-FFF2-40B4-BE49-F238E27FC236}">
              <a16:creationId xmlns:a16="http://schemas.microsoft.com/office/drawing/2014/main" id="{00000000-0008-0000-0000-00001B000000}"/>
            </a:ext>
          </a:extLst>
        </xdr:cNvPr>
        <xdr:cNvPicPr>
          <a:picLocks noChangeAspect="1"/>
        </xdr:cNvPicPr>
      </xdr:nvPicPr>
      <xdr:blipFill>
        <a:blip xmlns:r="http://schemas.openxmlformats.org/officeDocument/2006/relationships" r:embed="rId3">
          <a:alphaModFix/>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1562100" y="10965180"/>
          <a:ext cx="914400" cy="914400"/>
        </a:xfrm>
        <a:prstGeom prst="rect">
          <a:avLst/>
        </a:prstGeom>
      </xdr:spPr>
    </xdr:pic>
    <xdr:clientData/>
  </xdr:oneCellAnchor>
  <xdr:twoCellAnchor>
    <xdr:from>
      <xdr:col>6</xdr:col>
      <xdr:colOff>220980</xdr:colOff>
      <xdr:row>84</xdr:row>
      <xdr:rowOff>45720</xdr:rowOff>
    </xdr:from>
    <xdr:to>
      <xdr:col>7</xdr:col>
      <xdr:colOff>129540</xdr:colOff>
      <xdr:row>86</xdr:row>
      <xdr:rowOff>99060</xdr:rowOff>
    </xdr:to>
    <xdr:sp macro="" textlink="">
      <xdr:nvSpPr>
        <xdr:cNvPr id="28" name="Es igual a 27">
          <a:extLst>
            <a:ext uri="{FF2B5EF4-FFF2-40B4-BE49-F238E27FC236}">
              <a16:creationId xmlns:a16="http://schemas.microsoft.com/office/drawing/2014/main" id="{00000000-0008-0000-0000-00001C000000}"/>
            </a:ext>
          </a:extLst>
        </xdr:cNvPr>
        <xdr:cNvSpPr/>
      </xdr:nvSpPr>
      <xdr:spPr>
        <a:xfrm>
          <a:off x="3909060" y="11711940"/>
          <a:ext cx="541020" cy="449580"/>
        </a:xfrm>
        <a:prstGeom prst="mathEqual">
          <a:avLst/>
        </a:prstGeom>
        <a:solidFill>
          <a:schemeClr val="tx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MX" sz="1100">
            <a:solidFill>
              <a:schemeClr val="tx1"/>
            </a:solidFill>
          </a:endParaRPr>
        </a:p>
      </xdr:txBody>
    </xdr:sp>
    <xdr:clientData/>
  </xdr:twoCellAnchor>
  <xdr:twoCellAnchor>
    <xdr:from>
      <xdr:col>4</xdr:col>
      <xdr:colOff>0</xdr:colOff>
      <xdr:row>83</xdr:row>
      <xdr:rowOff>121920</xdr:rowOff>
    </xdr:from>
    <xdr:to>
      <xdr:col>4</xdr:col>
      <xdr:colOff>540000</xdr:colOff>
      <xdr:row>87</xdr:row>
      <xdr:rowOff>6600</xdr:rowOff>
    </xdr:to>
    <xdr:sp macro="" textlink="">
      <xdr:nvSpPr>
        <xdr:cNvPr id="29" name="Signo más 28">
          <a:extLst>
            <a:ext uri="{FF2B5EF4-FFF2-40B4-BE49-F238E27FC236}">
              <a16:creationId xmlns:a16="http://schemas.microsoft.com/office/drawing/2014/main" id="{00000000-0008-0000-0000-00001D000000}"/>
            </a:ext>
          </a:extLst>
        </xdr:cNvPr>
        <xdr:cNvSpPr/>
      </xdr:nvSpPr>
      <xdr:spPr>
        <a:xfrm>
          <a:off x="2369820" y="11658600"/>
          <a:ext cx="540000" cy="540000"/>
        </a:xfrm>
        <a:prstGeom prst="mathPlus">
          <a:avLst/>
        </a:prstGeom>
        <a:solidFill>
          <a:schemeClr val="tx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MX" sz="1100"/>
        </a:p>
      </xdr:txBody>
    </xdr:sp>
    <xdr:clientData/>
  </xdr:twoCellAnchor>
  <xdr:oneCellAnchor>
    <xdr:from>
      <xdr:col>16</xdr:col>
      <xdr:colOff>495300</xdr:colOff>
      <xdr:row>79</xdr:row>
      <xdr:rowOff>68580</xdr:rowOff>
    </xdr:from>
    <xdr:ext cx="914400" cy="914400"/>
    <xdr:pic>
      <xdr:nvPicPr>
        <xdr:cNvPr id="30" name="Gráfico 29" descr="Male profile contorno">
          <a:extLst>
            <a:ext uri="{FF2B5EF4-FFF2-40B4-BE49-F238E27FC236}">
              <a16:creationId xmlns:a16="http://schemas.microsoft.com/office/drawing/2014/main" id="{00000000-0008-0000-0000-00001E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9921240" y="10949940"/>
          <a:ext cx="914400" cy="914400"/>
        </a:xfrm>
        <a:prstGeom prst="rect">
          <a:avLst/>
        </a:prstGeom>
      </xdr:spPr>
    </xdr:pic>
    <xdr:clientData/>
  </xdr:oneCellAnchor>
  <xdr:oneCellAnchor>
    <xdr:from>
      <xdr:col>14</xdr:col>
      <xdr:colOff>601980</xdr:colOff>
      <xdr:row>79</xdr:row>
      <xdr:rowOff>91440</xdr:rowOff>
    </xdr:from>
    <xdr:ext cx="914400" cy="914400"/>
    <xdr:pic>
      <xdr:nvPicPr>
        <xdr:cNvPr id="31" name="Gráfico 30" descr="Female Profile contorno">
          <a:extLst>
            <a:ext uri="{FF2B5EF4-FFF2-40B4-BE49-F238E27FC236}">
              <a16:creationId xmlns:a16="http://schemas.microsoft.com/office/drawing/2014/main" id="{00000000-0008-0000-0000-00001F00000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8610600" y="10972800"/>
          <a:ext cx="914400" cy="914400"/>
        </a:xfrm>
        <a:prstGeom prst="rect">
          <a:avLst/>
        </a:prstGeom>
      </xdr:spPr>
    </xdr:pic>
    <xdr:clientData/>
  </xdr:oneCellAnchor>
  <xdr:twoCellAnchor>
    <xdr:from>
      <xdr:col>17</xdr:col>
      <xdr:colOff>701040</xdr:colOff>
      <xdr:row>84</xdr:row>
      <xdr:rowOff>76200</xdr:rowOff>
    </xdr:from>
    <xdr:to>
      <xdr:col>18</xdr:col>
      <xdr:colOff>533400</xdr:colOff>
      <xdr:row>86</xdr:row>
      <xdr:rowOff>83820</xdr:rowOff>
    </xdr:to>
    <xdr:sp macro="" textlink="">
      <xdr:nvSpPr>
        <xdr:cNvPr id="32" name="Es igual a 31">
          <a:extLst>
            <a:ext uri="{FF2B5EF4-FFF2-40B4-BE49-F238E27FC236}">
              <a16:creationId xmlns:a16="http://schemas.microsoft.com/office/drawing/2014/main" id="{00000000-0008-0000-0000-000020000000}"/>
            </a:ext>
          </a:extLst>
        </xdr:cNvPr>
        <xdr:cNvSpPr/>
      </xdr:nvSpPr>
      <xdr:spPr>
        <a:xfrm>
          <a:off x="10736580" y="11742420"/>
          <a:ext cx="541020" cy="403860"/>
        </a:xfrm>
        <a:prstGeom prst="mathEqual">
          <a:avLst/>
        </a:prstGeom>
        <a:solidFill>
          <a:schemeClr val="tx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MX" sz="1100">
            <a:solidFill>
              <a:schemeClr val="tx1"/>
            </a:solidFill>
          </a:endParaRPr>
        </a:p>
      </xdr:txBody>
    </xdr:sp>
    <xdr:clientData/>
  </xdr:twoCellAnchor>
  <xdr:twoCellAnchor>
    <xdr:from>
      <xdr:col>16</xdr:col>
      <xdr:colOff>30480</xdr:colOff>
      <xdr:row>84</xdr:row>
      <xdr:rowOff>15240</xdr:rowOff>
    </xdr:from>
    <xdr:to>
      <xdr:col>16</xdr:col>
      <xdr:colOff>570480</xdr:colOff>
      <xdr:row>87</xdr:row>
      <xdr:rowOff>29460</xdr:rowOff>
    </xdr:to>
    <xdr:sp macro="" textlink="">
      <xdr:nvSpPr>
        <xdr:cNvPr id="33" name="Signo más 32">
          <a:extLst>
            <a:ext uri="{FF2B5EF4-FFF2-40B4-BE49-F238E27FC236}">
              <a16:creationId xmlns:a16="http://schemas.microsoft.com/office/drawing/2014/main" id="{00000000-0008-0000-0000-000021000000}"/>
            </a:ext>
          </a:extLst>
        </xdr:cNvPr>
        <xdr:cNvSpPr/>
      </xdr:nvSpPr>
      <xdr:spPr>
        <a:xfrm>
          <a:off x="9456420" y="11681460"/>
          <a:ext cx="540000" cy="540000"/>
        </a:xfrm>
        <a:prstGeom prst="mathPlus">
          <a:avLst/>
        </a:prstGeom>
        <a:solidFill>
          <a:schemeClr val="tx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MX" sz="1100"/>
        </a:p>
      </xdr:txBody>
    </xdr:sp>
    <xdr:clientData/>
  </xdr:twoCellAnchor>
  <xdr:twoCellAnchor editAs="oneCell">
    <xdr:from>
      <xdr:col>2</xdr:col>
      <xdr:colOff>632460</xdr:colOff>
      <xdr:row>86</xdr:row>
      <xdr:rowOff>106680</xdr:rowOff>
    </xdr:from>
    <xdr:to>
      <xdr:col>4</xdr:col>
      <xdr:colOff>129540</xdr:colOff>
      <xdr:row>93</xdr:row>
      <xdr:rowOff>114300</xdr:rowOff>
    </xdr:to>
    <xdr:pic>
      <xdr:nvPicPr>
        <xdr:cNvPr id="5" name="Gráfico 4" descr="Farm scene contorno">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8">
          <a:extLst>
            <a:ext uri="{28A0092B-C50C-407E-A947-70E740481C1C}">
              <a14:useLocalDpi xmlns:a14="http://schemas.microsoft.com/office/drawing/2010/main" val="0"/>
            </a:ext>
            <a:ext uri="{96DAC541-7B7A-43D3-8B79-37D633B846F1}">
              <asvg:svgBlip xmlns:asvg="http://schemas.microsoft.com/office/drawing/2016/SVG/main" r:embed="rId9"/>
            </a:ext>
          </a:extLst>
        </a:blip>
        <a:stretch>
          <a:fillRect/>
        </a:stretch>
      </xdr:blipFill>
      <xdr:spPr>
        <a:xfrm>
          <a:off x="1584960" y="12169140"/>
          <a:ext cx="914400" cy="914400"/>
        </a:xfrm>
        <a:prstGeom prst="rect">
          <a:avLst/>
        </a:prstGeom>
      </xdr:spPr>
    </xdr:pic>
    <xdr:clientData/>
  </xdr:twoCellAnchor>
  <xdr:twoCellAnchor editAs="oneCell">
    <xdr:from>
      <xdr:col>4</xdr:col>
      <xdr:colOff>472440</xdr:colOff>
      <xdr:row>86</xdr:row>
      <xdr:rowOff>91440</xdr:rowOff>
    </xdr:from>
    <xdr:to>
      <xdr:col>6</xdr:col>
      <xdr:colOff>68580</xdr:colOff>
      <xdr:row>93</xdr:row>
      <xdr:rowOff>99060</xdr:rowOff>
    </xdr:to>
    <xdr:pic>
      <xdr:nvPicPr>
        <xdr:cNvPr id="9" name="Gráfico 8" descr="City contorno">
          <a:extLst>
            <a:ext uri="{FF2B5EF4-FFF2-40B4-BE49-F238E27FC236}">
              <a16:creationId xmlns:a16="http://schemas.microsoft.com/office/drawing/2014/main" id="{00000000-0008-0000-0000-000009000000}"/>
            </a:ext>
          </a:extLst>
        </xdr:cNvPr>
        <xdr:cNvPicPr>
          <a:picLocks noChangeAspect="1"/>
        </xdr:cNvPicPr>
      </xdr:nvPicPr>
      <xdr:blipFill>
        <a:blip xmlns:r="http://schemas.openxmlformats.org/officeDocument/2006/relationships" r:embed="rId10">
          <a:extLst>
            <a:ext uri="{28A0092B-C50C-407E-A947-70E740481C1C}">
              <a14:useLocalDpi xmlns:a14="http://schemas.microsoft.com/office/drawing/2010/main" val="0"/>
            </a:ext>
            <a:ext uri="{96DAC541-7B7A-43D3-8B79-37D633B846F1}">
              <asvg:svgBlip xmlns:asvg="http://schemas.microsoft.com/office/drawing/2016/SVG/main" r:embed="rId11"/>
            </a:ext>
          </a:extLst>
        </a:blip>
        <a:stretch>
          <a:fillRect/>
        </a:stretch>
      </xdr:blipFill>
      <xdr:spPr>
        <a:xfrm>
          <a:off x="2842260" y="12153900"/>
          <a:ext cx="914400" cy="914400"/>
        </a:xfrm>
        <a:prstGeom prst="rect">
          <a:avLst/>
        </a:prstGeom>
      </xdr:spPr>
    </xdr:pic>
    <xdr:clientData/>
  </xdr:twoCellAnchor>
  <xdr:oneCellAnchor>
    <xdr:from>
      <xdr:col>14</xdr:col>
      <xdr:colOff>670560</xdr:colOff>
      <xdr:row>86</xdr:row>
      <xdr:rowOff>99060</xdr:rowOff>
    </xdr:from>
    <xdr:ext cx="914400" cy="914400"/>
    <xdr:pic>
      <xdr:nvPicPr>
        <xdr:cNvPr id="38" name="Gráfico 37" descr="Farm scene contorno">
          <a:extLst>
            <a:ext uri="{FF2B5EF4-FFF2-40B4-BE49-F238E27FC236}">
              <a16:creationId xmlns:a16="http://schemas.microsoft.com/office/drawing/2014/main" id="{00000000-0008-0000-0000-000026000000}"/>
            </a:ext>
          </a:extLst>
        </xdr:cNvPr>
        <xdr:cNvPicPr>
          <a:picLocks noChangeAspect="1"/>
        </xdr:cNvPicPr>
      </xdr:nvPicPr>
      <xdr:blipFill>
        <a:blip xmlns:r="http://schemas.openxmlformats.org/officeDocument/2006/relationships" r:embed="rId8">
          <a:extLst>
            <a:ext uri="{28A0092B-C50C-407E-A947-70E740481C1C}">
              <a14:useLocalDpi xmlns:a14="http://schemas.microsoft.com/office/drawing/2010/main" val="0"/>
            </a:ext>
            <a:ext uri="{96DAC541-7B7A-43D3-8B79-37D633B846F1}">
              <asvg:svgBlip xmlns:asvg="http://schemas.microsoft.com/office/drawing/2016/SVG/main" r:embed="rId9"/>
            </a:ext>
          </a:extLst>
        </a:blip>
        <a:stretch>
          <a:fillRect/>
        </a:stretch>
      </xdr:blipFill>
      <xdr:spPr>
        <a:xfrm>
          <a:off x="8679180" y="12161520"/>
          <a:ext cx="914400" cy="914400"/>
        </a:xfrm>
        <a:prstGeom prst="rect">
          <a:avLst/>
        </a:prstGeom>
      </xdr:spPr>
    </xdr:pic>
    <xdr:clientData/>
  </xdr:oneCellAnchor>
  <xdr:oneCellAnchor>
    <xdr:from>
      <xdr:col>16</xdr:col>
      <xdr:colOff>480060</xdr:colOff>
      <xdr:row>86</xdr:row>
      <xdr:rowOff>91440</xdr:rowOff>
    </xdr:from>
    <xdr:ext cx="914400" cy="914400"/>
    <xdr:pic>
      <xdr:nvPicPr>
        <xdr:cNvPr id="39" name="Gráfico 38" descr="City contorno">
          <a:extLst>
            <a:ext uri="{FF2B5EF4-FFF2-40B4-BE49-F238E27FC236}">
              <a16:creationId xmlns:a16="http://schemas.microsoft.com/office/drawing/2014/main" id="{00000000-0008-0000-0000-000027000000}"/>
            </a:ext>
          </a:extLst>
        </xdr:cNvPr>
        <xdr:cNvPicPr>
          <a:picLocks noChangeAspect="1"/>
        </xdr:cNvPicPr>
      </xdr:nvPicPr>
      <xdr:blipFill>
        <a:blip xmlns:r="http://schemas.openxmlformats.org/officeDocument/2006/relationships" r:embed="rId10">
          <a:extLst>
            <a:ext uri="{28A0092B-C50C-407E-A947-70E740481C1C}">
              <a14:useLocalDpi xmlns:a14="http://schemas.microsoft.com/office/drawing/2010/main" val="0"/>
            </a:ext>
            <a:ext uri="{96DAC541-7B7A-43D3-8B79-37D633B846F1}">
              <asvg:svgBlip xmlns:asvg="http://schemas.microsoft.com/office/drawing/2016/SVG/main" r:embed="rId11"/>
            </a:ext>
          </a:extLst>
        </a:blip>
        <a:stretch>
          <a:fillRect/>
        </a:stretch>
      </xdr:blipFill>
      <xdr:spPr>
        <a:xfrm>
          <a:off x="9906000" y="12153900"/>
          <a:ext cx="914400" cy="914400"/>
        </a:xfrm>
        <a:prstGeom prst="rect">
          <a:avLst/>
        </a:prstGeom>
      </xdr:spPr>
    </xdr:pic>
    <xdr:clientData/>
  </xdr:oneCellAnchor>
  <xdr:twoCellAnchor>
    <xdr:from>
      <xdr:col>0</xdr:col>
      <xdr:colOff>45720</xdr:colOff>
      <xdr:row>124</xdr:row>
      <xdr:rowOff>99060</xdr:rowOff>
    </xdr:from>
    <xdr:to>
      <xdr:col>22</xdr:col>
      <xdr:colOff>255420</xdr:colOff>
      <xdr:row>126</xdr:row>
      <xdr:rowOff>127980</xdr:rowOff>
    </xdr:to>
    <xdr:sp macro="" textlink="">
      <xdr:nvSpPr>
        <xdr:cNvPr id="44" name="Rectángulo: esquinas superiores redondeadas 43">
          <a:extLst>
            <a:ext uri="{FF2B5EF4-FFF2-40B4-BE49-F238E27FC236}">
              <a16:creationId xmlns:a16="http://schemas.microsoft.com/office/drawing/2014/main" id="{00000000-0008-0000-0000-00002C000000}"/>
            </a:ext>
          </a:extLst>
        </xdr:cNvPr>
        <xdr:cNvSpPr/>
      </xdr:nvSpPr>
      <xdr:spPr>
        <a:xfrm>
          <a:off x="45720" y="17548860"/>
          <a:ext cx="14040000" cy="288000"/>
        </a:xfrm>
        <a:prstGeom prst="round2SameRect">
          <a:avLst/>
        </a:prstGeom>
        <a:solidFill>
          <a:schemeClr val="bg1">
            <a:lumMod val="95000"/>
          </a:schemeClr>
        </a:solidFill>
        <a:l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s-MX" sz="1200" baseline="0">
              <a:solidFill>
                <a:srgbClr val="D60093"/>
              </a:solidFill>
              <a:latin typeface="Arial" panose="020B0604020202020204" pitchFamily="34" charset="0"/>
              <a:cs typeface="Arial" panose="020B0604020202020204" pitchFamily="34" charset="0"/>
            </a:rPr>
            <a:t>Participación ciudadana 2021</a:t>
          </a:r>
        </a:p>
      </xdr:txBody>
    </xdr:sp>
    <xdr:clientData/>
  </xdr:twoCellAnchor>
  <xdr:oneCellAnchor>
    <xdr:from>
      <xdr:col>4</xdr:col>
      <xdr:colOff>594360</xdr:colOff>
      <xdr:row>129</xdr:row>
      <xdr:rowOff>76200</xdr:rowOff>
    </xdr:from>
    <xdr:ext cx="720000" cy="720000"/>
    <xdr:pic>
      <xdr:nvPicPr>
        <xdr:cNvPr id="45" name="Gráfico 44" descr="Male profile contorno">
          <a:extLst>
            <a:ext uri="{FF2B5EF4-FFF2-40B4-BE49-F238E27FC236}">
              <a16:creationId xmlns:a16="http://schemas.microsoft.com/office/drawing/2014/main" id="{00000000-0008-0000-0000-00002D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2964180" y="17884140"/>
          <a:ext cx="720000" cy="720000"/>
        </a:xfrm>
        <a:prstGeom prst="rect">
          <a:avLst/>
        </a:prstGeom>
      </xdr:spPr>
    </xdr:pic>
    <xdr:clientData/>
  </xdr:oneCellAnchor>
  <xdr:oneCellAnchor>
    <xdr:from>
      <xdr:col>3</xdr:col>
      <xdr:colOff>670560</xdr:colOff>
      <xdr:row>129</xdr:row>
      <xdr:rowOff>83820</xdr:rowOff>
    </xdr:from>
    <xdr:ext cx="720000" cy="720000"/>
    <xdr:pic>
      <xdr:nvPicPr>
        <xdr:cNvPr id="46" name="Gráfico 45" descr="Female Profile contorno">
          <a:extLst>
            <a:ext uri="{FF2B5EF4-FFF2-40B4-BE49-F238E27FC236}">
              <a16:creationId xmlns:a16="http://schemas.microsoft.com/office/drawing/2014/main" id="{00000000-0008-0000-0000-00002E000000}"/>
            </a:ext>
          </a:extLst>
        </xdr:cNvPr>
        <xdr:cNvPicPr>
          <a:picLocks noChangeAspect="1"/>
        </xdr:cNvPicPr>
      </xdr:nvPicPr>
      <xdr:blipFill>
        <a:blip xmlns:r="http://schemas.openxmlformats.org/officeDocument/2006/relationships" r:embed="rId3">
          <a:alphaModFix/>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2331720" y="17891760"/>
          <a:ext cx="720000" cy="720000"/>
        </a:xfrm>
        <a:prstGeom prst="rect">
          <a:avLst/>
        </a:prstGeom>
      </xdr:spPr>
    </xdr:pic>
    <xdr:clientData/>
  </xdr:oneCellAnchor>
  <xdr:oneCellAnchor>
    <xdr:from>
      <xdr:col>5</xdr:col>
      <xdr:colOff>640080</xdr:colOff>
      <xdr:row>129</xdr:row>
      <xdr:rowOff>106680</xdr:rowOff>
    </xdr:from>
    <xdr:ext cx="720000" cy="720000"/>
    <xdr:pic>
      <xdr:nvPicPr>
        <xdr:cNvPr id="53" name="Gráfico 52" descr="Farm scene contorno">
          <a:extLst>
            <a:ext uri="{FF2B5EF4-FFF2-40B4-BE49-F238E27FC236}">
              <a16:creationId xmlns:a16="http://schemas.microsoft.com/office/drawing/2014/main" id="{00000000-0008-0000-0000-000035000000}"/>
            </a:ext>
          </a:extLst>
        </xdr:cNvPr>
        <xdr:cNvPicPr>
          <a:picLocks noChangeAspect="1"/>
        </xdr:cNvPicPr>
      </xdr:nvPicPr>
      <xdr:blipFill>
        <a:blip xmlns:r="http://schemas.openxmlformats.org/officeDocument/2006/relationships" r:embed="rId8">
          <a:extLst>
            <a:ext uri="{28A0092B-C50C-407E-A947-70E740481C1C}">
              <a14:useLocalDpi xmlns:a14="http://schemas.microsoft.com/office/drawing/2010/main" val="0"/>
            </a:ext>
            <a:ext uri="{96DAC541-7B7A-43D3-8B79-37D633B846F1}">
              <asvg:svgBlip xmlns:asvg="http://schemas.microsoft.com/office/drawing/2016/SVG/main" r:embed="rId9"/>
            </a:ext>
          </a:extLst>
        </a:blip>
        <a:stretch>
          <a:fillRect/>
        </a:stretch>
      </xdr:blipFill>
      <xdr:spPr>
        <a:xfrm>
          <a:off x="3619500" y="17914620"/>
          <a:ext cx="720000" cy="720000"/>
        </a:xfrm>
        <a:prstGeom prst="rect">
          <a:avLst/>
        </a:prstGeom>
      </xdr:spPr>
    </xdr:pic>
    <xdr:clientData/>
  </xdr:oneCellAnchor>
  <xdr:oneCellAnchor>
    <xdr:from>
      <xdr:col>6</xdr:col>
      <xdr:colOff>624840</xdr:colOff>
      <xdr:row>129</xdr:row>
      <xdr:rowOff>76200</xdr:rowOff>
    </xdr:from>
    <xdr:ext cx="720000" cy="720000"/>
    <xdr:pic>
      <xdr:nvPicPr>
        <xdr:cNvPr id="54" name="Gráfico 53" descr="City contorno">
          <a:extLst>
            <a:ext uri="{FF2B5EF4-FFF2-40B4-BE49-F238E27FC236}">
              <a16:creationId xmlns:a16="http://schemas.microsoft.com/office/drawing/2014/main" id="{00000000-0008-0000-0000-000036000000}"/>
            </a:ext>
          </a:extLst>
        </xdr:cNvPr>
        <xdr:cNvPicPr>
          <a:picLocks noChangeAspect="1"/>
        </xdr:cNvPicPr>
      </xdr:nvPicPr>
      <xdr:blipFill>
        <a:blip xmlns:r="http://schemas.openxmlformats.org/officeDocument/2006/relationships" r:embed="rId10">
          <a:extLst>
            <a:ext uri="{28A0092B-C50C-407E-A947-70E740481C1C}">
              <a14:useLocalDpi xmlns:a14="http://schemas.microsoft.com/office/drawing/2010/main" val="0"/>
            </a:ext>
            <a:ext uri="{96DAC541-7B7A-43D3-8B79-37D633B846F1}">
              <asvg:svgBlip xmlns:asvg="http://schemas.microsoft.com/office/drawing/2016/SVG/main" r:embed="rId11"/>
            </a:ext>
          </a:extLst>
        </a:blip>
        <a:stretch>
          <a:fillRect/>
        </a:stretch>
      </xdr:blipFill>
      <xdr:spPr>
        <a:xfrm>
          <a:off x="4312920" y="17884140"/>
          <a:ext cx="720000" cy="720000"/>
        </a:xfrm>
        <a:prstGeom prst="rect">
          <a:avLst/>
        </a:prstGeom>
      </xdr:spPr>
    </xdr:pic>
    <xdr:clientData/>
  </xdr:oneCellAnchor>
  <xdr:twoCellAnchor>
    <xdr:from>
      <xdr:col>4</xdr:col>
      <xdr:colOff>220980</xdr:colOff>
      <xdr:row>98</xdr:row>
      <xdr:rowOff>76200</xdr:rowOff>
    </xdr:from>
    <xdr:to>
      <xdr:col>9</xdr:col>
      <xdr:colOff>1053900</xdr:colOff>
      <xdr:row>121</xdr:row>
      <xdr:rowOff>83460</xdr:rowOff>
    </xdr:to>
    <xdr:graphicFrame macro="">
      <xdr:nvGraphicFramePr>
        <xdr:cNvPr id="58" name="Gráfico 57">
          <a:extLst>
            <a:ext uri="{FF2B5EF4-FFF2-40B4-BE49-F238E27FC236}">
              <a16:creationId xmlns:a16="http://schemas.microsoft.com/office/drawing/2014/main" id="{00000000-0008-0000-0000-00003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16</xdr:col>
      <xdr:colOff>83820</xdr:colOff>
      <xdr:row>98</xdr:row>
      <xdr:rowOff>68580</xdr:rowOff>
    </xdr:from>
    <xdr:to>
      <xdr:col>21</xdr:col>
      <xdr:colOff>916740</xdr:colOff>
      <xdr:row>121</xdr:row>
      <xdr:rowOff>75840</xdr:rowOff>
    </xdr:to>
    <xdr:graphicFrame macro="">
      <xdr:nvGraphicFramePr>
        <xdr:cNvPr id="59" name="Gráfico 58">
          <a:extLst>
            <a:ext uri="{FF2B5EF4-FFF2-40B4-BE49-F238E27FC236}">
              <a16:creationId xmlns:a16="http://schemas.microsoft.com/office/drawing/2014/main" id="{00000000-0008-0000-0000-00003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editAs="oneCell">
    <xdr:from>
      <xdr:col>2</xdr:col>
      <xdr:colOff>701040</xdr:colOff>
      <xdr:row>129</xdr:row>
      <xdr:rowOff>22860</xdr:rowOff>
    </xdr:from>
    <xdr:to>
      <xdr:col>4</xdr:col>
      <xdr:colOff>3720</xdr:colOff>
      <xdr:row>133</xdr:row>
      <xdr:rowOff>224700</xdr:rowOff>
    </xdr:to>
    <xdr:pic>
      <xdr:nvPicPr>
        <xdr:cNvPr id="19" name="Gráfico 18" descr="Group of people contorno">
          <a:extLst>
            <a:ext uri="{FF2B5EF4-FFF2-40B4-BE49-F238E27FC236}">
              <a16:creationId xmlns:a16="http://schemas.microsoft.com/office/drawing/2014/main" id="{00000000-0008-0000-0000-000013000000}"/>
            </a:ext>
          </a:extLst>
        </xdr:cNvPr>
        <xdr:cNvPicPr>
          <a:picLocks noChangeAspect="1"/>
        </xdr:cNvPicPr>
      </xdr:nvPicPr>
      <xdr:blipFill>
        <a:blip xmlns:r="http://schemas.openxmlformats.org/officeDocument/2006/relationships" r:embed="rId14">
          <a:extLst>
            <a:ext uri="{28A0092B-C50C-407E-A947-70E740481C1C}">
              <a14:useLocalDpi xmlns:a14="http://schemas.microsoft.com/office/drawing/2010/main" val="0"/>
            </a:ext>
            <a:ext uri="{96DAC541-7B7A-43D3-8B79-37D633B846F1}">
              <asvg:svgBlip xmlns:asvg="http://schemas.microsoft.com/office/drawing/2016/SVG/main" r:embed="rId15"/>
            </a:ext>
          </a:extLst>
        </a:blip>
        <a:stretch>
          <a:fillRect/>
        </a:stretch>
      </xdr:blipFill>
      <xdr:spPr>
        <a:xfrm>
          <a:off x="1653540" y="17830800"/>
          <a:ext cx="720000" cy="720000"/>
        </a:xfrm>
        <a:prstGeom prst="rect">
          <a:avLst/>
        </a:prstGeom>
      </xdr:spPr>
    </xdr:pic>
    <xdr:clientData/>
  </xdr:twoCellAnchor>
  <xdr:oneCellAnchor>
    <xdr:from>
      <xdr:col>16</xdr:col>
      <xdr:colOff>594360</xdr:colOff>
      <xdr:row>129</xdr:row>
      <xdr:rowOff>76200</xdr:rowOff>
    </xdr:from>
    <xdr:ext cx="720000" cy="720000"/>
    <xdr:pic>
      <xdr:nvPicPr>
        <xdr:cNvPr id="61" name="Gráfico 60" descr="Male profile contorno">
          <a:extLst>
            <a:ext uri="{FF2B5EF4-FFF2-40B4-BE49-F238E27FC236}">
              <a16:creationId xmlns:a16="http://schemas.microsoft.com/office/drawing/2014/main" id="{00000000-0008-0000-0000-00003D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0020300" y="17884140"/>
          <a:ext cx="720000" cy="720000"/>
        </a:xfrm>
        <a:prstGeom prst="rect">
          <a:avLst/>
        </a:prstGeom>
      </xdr:spPr>
    </xdr:pic>
    <xdr:clientData/>
  </xdr:oneCellAnchor>
  <xdr:oneCellAnchor>
    <xdr:from>
      <xdr:col>15</xdr:col>
      <xdr:colOff>670560</xdr:colOff>
      <xdr:row>129</xdr:row>
      <xdr:rowOff>83820</xdr:rowOff>
    </xdr:from>
    <xdr:ext cx="720000" cy="720000"/>
    <xdr:pic>
      <xdr:nvPicPr>
        <xdr:cNvPr id="62" name="Gráfico 61" descr="Female Profile contorno">
          <a:extLst>
            <a:ext uri="{FF2B5EF4-FFF2-40B4-BE49-F238E27FC236}">
              <a16:creationId xmlns:a16="http://schemas.microsoft.com/office/drawing/2014/main" id="{00000000-0008-0000-0000-00003E000000}"/>
            </a:ext>
          </a:extLst>
        </xdr:cNvPr>
        <xdr:cNvPicPr>
          <a:picLocks noChangeAspect="1"/>
        </xdr:cNvPicPr>
      </xdr:nvPicPr>
      <xdr:blipFill>
        <a:blip xmlns:r="http://schemas.openxmlformats.org/officeDocument/2006/relationships" r:embed="rId3">
          <a:alphaModFix/>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9387840" y="17891760"/>
          <a:ext cx="720000" cy="720000"/>
        </a:xfrm>
        <a:prstGeom prst="rect">
          <a:avLst/>
        </a:prstGeom>
      </xdr:spPr>
    </xdr:pic>
    <xdr:clientData/>
  </xdr:oneCellAnchor>
  <xdr:oneCellAnchor>
    <xdr:from>
      <xdr:col>17</xdr:col>
      <xdr:colOff>640080</xdr:colOff>
      <xdr:row>129</xdr:row>
      <xdr:rowOff>106680</xdr:rowOff>
    </xdr:from>
    <xdr:ext cx="720000" cy="720000"/>
    <xdr:pic>
      <xdr:nvPicPr>
        <xdr:cNvPr id="63" name="Gráfico 62" descr="Farm scene contorno">
          <a:extLst>
            <a:ext uri="{FF2B5EF4-FFF2-40B4-BE49-F238E27FC236}">
              <a16:creationId xmlns:a16="http://schemas.microsoft.com/office/drawing/2014/main" id="{00000000-0008-0000-0000-00003F000000}"/>
            </a:ext>
          </a:extLst>
        </xdr:cNvPr>
        <xdr:cNvPicPr>
          <a:picLocks noChangeAspect="1"/>
        </xdr:cNvPicPr>
      </xdr:nvPicPr>
      <xdr:blipFill>
        <a:blip xmlns:r="http://schemas.openxmlformats.org/officeDocument/2006/relationships" r:embed="rId8">
          <a:extLst>
            <a:ext uri="{28A0092B-C50C-407E-A947-70E740481C1C}">
              <a14:useLocalDpi xmlns:a14="http://schemas.microsoft.com/office/drawing/2010/main" val="0"/>
            </a:ext>
            <a:ext uri="{96DAC541-7B7A-43D3-8B79-37D633B846F1}">
              <asvg:svgBlip xmlns:asvg="http://schemas.microsoft.com/office/drawing/2016/SVG/main" r:embed="rId9"/>
            </a:ext>
          </a:extLst>
        </a:blip>
        <a:stretch>
          <a:fillRect/>
        </a:stretch>
      </xdr:blipFill>
      <xdr:spPr>
        <a:xfrm>
          <a:off x="10675620" y="17914620"/>
          <a:ext cx="720000" cy="720000"/>
        </a:xfrm>
        <a:prstGeom prst="rect">
          <a:avLst/>
        </a:prstGeom>
      </xdr:spPr>
    </xdr:pic>
    <xdr:clientData/>
  </xdr:oneCellAnchor>
  <xdr:oneCellAnchor>
    <xdr:from>
      <xdr:col>18</xdr:col>
      <xdr:colOff>624840</xdr:colOff>
      <xdr:row>129</xdr:row>
      <xdr:rowOff>76200</xdr:rowOff>
    </xdr:from>
    <xdr:ext cx="720000" cy="720000"/>
    <xdr:pic>
      <xdr:nvPicPr>
        <xdr:cNvPr id="64" name="Gráfico 63" descr="City contorno">
          <a:extLst>
            <a:ext uri="{FF2B5EF4-FFF2-40B4-BE49-F238E27FC236}">
              <a16:creationId xmlns:a16="http://schemas.microsoft.com/office/drawing/2014/main" id="{00000000-0008-0000-0000-000040000000}"/>
            </a:ext>
          </a:extLst>
        </xdr:cNvPr>
        <xdr:cNvPicPr>
          <a:picLocks noChangeAspect="1"/>
        </xdr:cNvPicPr>
      </xdr:nvPicPr>
      <xdr:blipFill>
        <a:blip xmlns:r="http://schemas.openxmlformats.org/officeDocument/2006/relationships" r:embed="rId10">
          <a:extLst>
            <a:ext uri="{28A0092B-C50C-407E-A947-70E740481C1C}">
              <a14:useLocalDpi xmlns:a14="http://schemas.microsoft.com/office/drawing/2010/main" val="0"/>
            </a:ext>
            <a:ext uri="{96DAC541-7B7A-43D3-8B79-37D633B846F1}">
              <asvg:svgBlip xmlns:asvg="http://schemas.microsoft.com/office/drawing/2016/SVG/main" r:embed="rId11"/>
            </a:ext>
          </a:extLst>
        </a:blip>
        <a:stretch>
          <a:fillRect/>
        </a:stretch>
      </xdr:blipFill>
      <xdr:spPr>
        <a:xfrm>
          <a:off x="11369040" y="17884140"/>
          <a:ext cx="720000" cy="720000"/>
        </a:xfrm>
        <a:prstGeom prst="rect">
          <a:avLst/>
        </a:prstGeom>
      </xdr:spPr>
    </xdr:pic>
    <xdr:clientData/>
  </xdr:oneCellAnchor>
  <xdr:oneCellAnchor>
    <xdr:from>
      <xdr:col>14</xdr:col>
      <xdr:colOff>701040</xdr:colOff>
      <xdr:row>129</xdr:row>
      <xdr:rowOff>22860</xdr:rowOff>
    </xdr:from>
    <xdr:ext cx="720000" cy="720000"/>
    <xdr:pic>
      <xdr:nvPicPr>
        <xdr:cNvPr id="65" name="Gráfico 64" descr="Group of people contorno">
          <a:extLst>
            <a:ext uri="{FF2B5EF4-FFF2-40B4-BE49-F238E27FC236}">
              <a16:creationId xmlns:a16="http://schemas.microsoft.com/office/drawing/2014/main" id="{00000000-0008-0000-0000-000041000000}"/>
            </a:ext>
          </a:extLst>
        </xdr:cNvPr>
        <xdr:cNvPicPr>
          <a:picLocks noChangeAspect="1"/>
        </xdr:cNvPicPr>
      </xdr:nvPicPr>
      <xdr:blipFill>
        <a:blip xmlns:r="http://schemas.openxmlformats.org/officeDocument/2006/relationships" r:embed="rId14">
          <a:extLst>
            <a:ext uri="{28A0092B-C50C-407E-A947-70E740481C1C}">
              <a14:useLocalDpi xmlns:a14="http://schemas.microsoft.com/office/drawing/2010/main" val="0"/>
            </a:ext>
            <a:ext uri="{96DAC541-7B7A-43D3-8B79-37D633B846F1}">
              <asvg:svgBlip xmlns:asvg="http://schemas.microsoft.com/office/drawing/2016/SVG/main" r:embed="rId15"/>
            </a:ext>
          </a:extLst>
        </a:blip>
        <a:stretch>
          <a:fillRect/>
        </a:stretch>
      </xdr:blipFill>
      <xdr:spPr>
        <a:xfrm>
          <a:off x="8709660" y="17830800"/>
          <a:ext cx="720000" cy="720000"/>
        </a:xfrm>
        <a:prstGeom prst="rect">
          <a:avLst/>
        </a:prstGeom>
      </xdr:spPr>
    </xdr:pic>
    <xdr:clientData/>
  </xdr:oneCellAnchor>
  <xdr:twoCellAnchor>
    <xdr:from>
      <xdr:col>1</xdr:col>
      <xdr:colOff>480060</xdr:colOff>
      <xdr:row>161</xdr:row>
      <xdr:rowOff>30480</xdr:rowOff>
    </xdr:from>
    <xdr:to>
      <xdr:col>9</xdr:col>
      <xdr:colOff>447000</xdr:colOff>
      <xdr:row>183</xdr:row>
      <xdr:rowOff>60600</xdr:rowOff>
    </xdr:to>
    <xdr:graphicFrame macro="">
      <xdr:nvGraphicFramePr>
        <xdr:cNvPr id="66" name="Gráfico 65">
          <a:extLst>
            <a:ext uri="{FF2B5EF4-FFF2-40B4-BE49-F238E27FC236}">
              <a16:creationId xmlns:a16="http://schemas.microsoft.com/office/drawing/2014/main" id="{00000000-0008-0000-0000-00004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1</xdr:col>
      <xdr:colOff>281940</xdr:colOff>
      <xdr:row>185</xdr:row>
      <xdr:rowOff>121920</xdr:rowOff>
    </xdr:from>
    <xdr:to>
      <xdr:col>9</xdr:col>
      <xdr:colOff>248880</xdr:colOff>
      <xdr:row>206</xdr:row>
      <xdr:rowOff>0</xdr:rowOff>
    </xdr:to>
    <xdr:graphicFrame macro="">
      <xdr:nvGraphicFramePr>
        <xdr:cNvPr id="67" name="Gráfico 66">
          <a:extLst>
            <a:ext uri="{FF2B5EF4-FFF2-40B4-BE49-F238E27FC236}">
              <a16:creationId xmlns:a16="http://schemas.microsoft.com/office/drawing/2014/main" id="{00000000-0008-0000-0000-00004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1</xdr:col>
      <xdr:colOff>350520</xdr:colOff>
      <xdr:row>230</xdr:row>
      <xdr:rowOff>121920</xdr:rowOff>
    </xdr:from>
    <xdr:to>
      <xdr:col>9</xdr:col>
      <xdr:colOff>677460</xdr:colOff>
      <xdr:row>253</xdr:row>
      <xdr:rowOff>22500</xdr:rowOff>
    </xdr:to>
    <xdr:graphicFrame macro="">
      <xdr:nvGraphicFramePr>
        <xdr:cNvPr id="68" name="Gráfico 67">
          <a:extLst>
            <a:ext uri="{FF2B5EF4-FFF2-40B4-BE49-F238E27FC236}">
              <a16:creationId xmlns:a16="http://schemas.microsoft.com/office/drawing/2014/main" id="{00000000-0008-0000-0000-00004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13</xdr:col>
      <xdr:colOff>480060</xdr:colOff>
      <xdr:row>161</xdr:row>
      <xdr:rowOff>30480</xdr:rowOff>
    </xdr:from>
    <xdr:to>
      <xdr:col>21</xdr:col>
      <xdr:colOff>447000</xdr:colOff>
      <xdr:row>183</xdr:row>
      <xdr:rowOff>60600</xdr:rowOff>
    </xdr:to>
    <xdr:graphicFrame macro="">
      <xdr:nvGraphicFramePr>
        <xdr:cNvPr id="69" name="Gráfico 68">
          <a:extLst>
            <a:ext uri="{FF2B5EF4-FFF2-40B4-BE49-F238E27FC236}">
              <a16:creationId xmlns:a16="http://schemas.microsoft.com/office/drawing/2014/main" id="{00000000-0008-0000-0000-00004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13</xdr:col>
      <xdr:colOff>510540</xdr:colOff>
      <xdr:row>186</xdr:row>
      <xdr:rowOff>68580</xdr:rowOff>
    </xdr:from>
    <xdr:to>
      <xdr:col>21</xdr:col>
      <xdr:colOff>477480</xdr:colOff>
      <xdr:row>206</xdr:row>
      <xdr:rowOff>0</xdr:rowOff>
    </xdr:to>
    <xdr:graphicFrame macro="">
      <xdr:nvGraphicFramePr>
        <xdr:cNvPr id="70" name="Gráfico 69">
          <a:extLst>
            <a:ext uri="{FF2B5EF4-FFF2-40B4-BE49-F238E27FC236}">
              <a16:creationId xmlns:a16="http://schemas.microsoft.com/office/drawing/2014/main" id="{00000000-0008-0000-0000-00004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13</xdr:col>
      <xdr:colOff>236220</xdr:colOff>
      <xdr:row>231</xdr:row>
      <xdr:rowOff>38100</xdr:rowOff>
    </xdr:from>
    <xdr:to>
      <xdr:col>21</xdr:col>
      <xdr:colOff>563160</xdr:colOff>
      <xdr:row>253</xdr:row>
      <xdr:rowOff>68220</xdr:rowOff>
    </xdr:to>
    <xdr:graphicFrame macro="">
      <xdr:nvGraphicFramePr>
        <xdr:cNvPr id="71" name="Gráfico 70">
          <a:extLst>
            <a:ext uri="{FF2B5EF4-FFF2-40B4-BE49-F238E27FC236}">
              <a16:creationId xmlns:a16="http://schemas.microsoft.com/office/drawing/2014/main" id="{00000000-0008-0000-0000-00004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0</xdr:col>
      <xdr:colOff>45720</xdr:colOff>
      <xdr:row>258</xdr:row>
      <xdr:rowOff>0</xdr:rowOff>
    </xdr:from>
    <xdr:to>
      <xdr:col>22</xdr:col>
      <xdr:colOff>255420</xdr:colOff>
      <xdr:row>260</xdr:row>
      <xdr:rowOff>28920</xdr:rowOff>
    </xdr:to>
    <xdr:sp macro="" textlink="">
      <xdr:nvSpPr>
        <xdr:cNvPr id="51" name="Rectángulo: esquinas superiores redondeadas 50">
          <a:extLst>
            <a:ext uri="{FF2B5EF4-FFF2-40B4-BE49-F238E27FC236}">
              <a16:creationId xmlns:a16="http://schemas.microsoft.com/office/drawing/2014/main" id="{00000000-0008-0000-0000-000033000000}"/>
            </a:ext>
          </a:extLst>
        </xdr:cNvPr>
        <xdr:cNvSpPr/>
      </xdr:nvSpPr>
      <xdr:spPr>
        <a:xfrm>
          <a:off x="45720" y="35882580"/>
          <a:ext cx="14040000" cy="288000"/>
        </a:xfrm>
        <a:prstGeom prst="round2SameRect">
          <a:avLst/>
        </a:prstGeom>
        <a:solidFill>
          <a:srgbClr val="D60093"/>
        </a:solidFill>
        <a:ln>
          <a:solidFill>
            <a:srgbClr val="D60093"/>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s-MX" sz="1200" b="0">
              <a:latin typeface="Arial" panose="020B0604020202020204" pitchFamily="34" charset="0"/>
              <a:cs typeface="Arial" panose="020B0604020202020204" pitchFamily="34" charset="0"/>
            </a:rPr>
            <a:t>Indicadores</a:t>
          </a:r>
          <a:r>
            <a:rPr lang="es-MX" sz="1200" b="0" baseline="0">
              <a:latin typeface="Arial" panose="020B0604020202020204" pitchFamily="34" charset="0"/>
              <a:cs typeface="Arial" panose="020B0604020202020204" pitchFamily="34" charset="0"/>
            </a:rPr>
            <a:t> de contexto</a:t>
          </a:r>
          <a:endParaRPr lang="es-MX" sz="1200" b="0">
            <a:latin typeface="Arial" panose="020B0604020202020204" pitchFamily="34" charset="0"/>
            <a:cs typeface="Arial" panose="020B0604020202020204" pitchFamily="34" charset="0"/>
          </a:endParaRPr>
        </a:p>
      </xdr:txBody>
    </xdr:sp>
    <xdr:clientData/>
  </xdr:twoCellAnchor>
  <xdr:twoCellAnchor>
    <xdr:from>
      <xdr:col>0</xdr:col>
      <xdr:colOff>45720</xdr:colOff>
      <xdr:row>261</xdr:row>
      <xdr:rowOff>99060</xdr:rowOff>
    </xdr:from>
    <xdr:to>
      <xdr:col>22</xdr:col>
      <xdr:colOff>255420</xdr:colOff>
      <xdr:row>263</xdr:row>
      <xdr:rowOff>127980</xdr:rowOff>
    </xdr:to>
    <xdr:sp macro="" textlink="">
      <xdr:nvSpPr>
        <xdr:cNvPr id="52" name="Rectángulo: esquinas superiores redondeadas 51">
          <a:extLst>
            <a:ext uri="{FF2B5EF4-FFF2-40B4-BE49-F238E27FC236}">
              <a16:creationId xmlns:a16="http://schemas.microsoft.com/office/drawing/2014/main" id="{00000000-0008-0000-0000-000034000000}"/>
            </a:ext>
          </a:extLst>
        </xdr:cNvPr>
        <xdr:cNvSpPr/>
      </xdr:nvSpPr>
      <xdr:spPr>
        <a:xfrm>
          <a:off x="45720" y="36370260"/>
          <a:ext cx="14040000" cy="288000"/>
        </a:xfrm>
        <a:prstGeom prst="round2SameRect">
          <a:avLst/>
        </a:prstGeom>
        <a:solidFill>
          <a:schemeClr val="bg1">
            <a:lumMod val="95000"/>
          </a:schemeClr>
        </a:solidFill>
        <a:l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s-MX" sz="1200" baseline="0">
              <a:solidFill>
                <a:srgbClr val="D60093"/>
              </a:solidFill>
              <a:latin typeface="Arial" panose="020B0604020202020204" pitchFamily="34" charset="0"/>
              <a:cs typeface="Arial" panose="020B0604020202020204" pitchFamily="34" charset="0"/>
            </a:rPr>
            <a:t>Indicadores OCDE del bienestar 2021</a:t>
          </a:r>
        </a:p>
      </xdr:txBody>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3ED32E-29D3-4CF7-A409-E66B5165D232}">
  <dimension ref="A1:W322"/>
  <sheetViews>
    <sheetView showGridLines="0" showRowColHeaders="0" tabSelected="1" zoomScaleNormal="100" workbookViewId="0">
      <pane ySplit="8" topLeftCell="A9" activePane="bottomLeft" state="frozen"/>
      <selection pane="bottomLeft" activeCell="G7" sqref="G7"/>
    </sheetView>
  </sheetViews>
  <sheetFormatPr baseColWidth="10" defaultRowHeight="10.199999999999999" x14ac:dyDescent="0.2"/>
  <cols>
    <col min="1" max="1" width="4.5703125" style="63" customWidth="1"/>
    <col min="2" max="4" width="13.28515625" style="63" customWidth="1"/>
    <col min="5" max="5" width="11.42578125" style="63" customWidth="1"/>
    <col min="6" max="6" width="13.28515625" style="63" customWidth="1"/>
    <col min="7" max="7" width="11.85546875" style="63" customWidth="1"/>
    <col min="8" max="9" width="12.7109375" style="63" customWidth="1"/>
    <col min="10" max="10" width="22.42578125" style="63" customWidth="1"/>
    <col min="11" max="11" width="2.85546875" style="63" customWidth="1"/>
    <col min="12" max="12" width="0.5703125" style="63" customWidth="1"/>
    <col min="13" max="13" width="4.5703125" style="63" customWidth="1"/>
    <col min="14" max="16" width="13.28515625" style="63" customWidth="1"/>
    <col min="17" max="17" width="11.42578125" style="63" customWidth="1"/>
    <col min="18" max="18" width="13.28515625" style="63" customWidth="1"/>
    <col min="19" max="19" width="11.85546875" style="63" customWidth="1"/>
    <col min="20" max="21" width="12.7109375" style="63" customWidth="1"/>
    <col min="22" max="22" width="20.5703125" style="63" customWidth="1"/>
    <col min="23" max="16384" width="11.42578125" style="63"/>
  </cols>
  <sheetData>
    <row r="1" spans="1:23" hidden="1" x14ac:dyDescent="0.2">
      <c r="A1" s="65">
        <v>1</v>
      </c>
      <c r="B1" s="65">
        <v>2</v>
      </c>
      <c r="C1" s="65">
        <v>3</v>
      </c>
      <c r="D1" s="65">
        <v>4</v>
      </c>
      <c r="E1" s="65">
        <v>5</v>
      </c>
      <c r="F1" s="65">
        <v>6</v>
      </c>
      <c r="G1" s="65">
        <v>7</v>
      </c>
      <c r="H1" s="65">
        <v>8</v>
      </c>
      <c r="I1" s="65">
        <v>9</v>
      </c>
      <c r="J1" s="65">
        <v>10</v>
      </c>
      <c r="K1" s="65">
        <v>11</v>
      </c>
      <c r="M1" s="65">
        <v>1</v>
      </c>
      <c r="N1" s="65">
        <v>2</v>
      </c>
      <c r="O1" s="65">
        <v>3</v>
      </c>
      <c r="P1" s="65">
        <v>4</v>
      </c>
      <c r="Q1" s="65">
        <v>5</v>
      </c>
      <c r="R1" s="65">
        <v>6</v>
      </c>
      <c r="S1" s="65">
        <v>7</v>
      </c>
      <c r="T1" s="65">
        <v>8</v>
      </c>
      <c r="U1" s="65">
        <v>9</v>
      </c>
      <c r="V1" s="65">
        <v>10</v>
      </c>
      <c r="W1" s="65">
        <v>11</v>
      </c>
    </row>
    <row r="2" spans="1:23" x14ac:dyDescent="0.2">
      <c r="D2" s="62" t="s">
        <v>244</v>
      </c>
    </row>
    <row r="3" spans="1:23" x14ac:dyDescent="0.2">
      <c r="D3" s="62" t="s">
        <v>245</v>
      </c>
    </row>
    <row r="4" spans="1:23" x14ac:dyDescent="0.2">
      <c r="D4" s="62" t="s">
        <v>246</v>
      </c>
    </row>
    <row r="5" spans="1:23" x14ac:dyDescent="0.2">
      <c r="D5" s="62" t="s">
        <v>247</v>
      </c>
    </row>
    <row r="6" spans="1:23" x14ac:dyDescent="0.2">
      <c r="D6" s="62" t="s">
        <v>248</v>
      </c>
    </row>
    <row r="8" spans="1:23" ht="17.399999999999999" x14ac:dyDescent="0.2">
      <c r="C8" s="71" t="s">
        <v>243</v>
      </c>
      <c r="D8" s="150">
        <v>1</v>
      </c>
      <c r="L8" s="78"/>
      <c r="O8" s="71" t="s">
        <v>243</v>
      </c>
      <c r="P8" s="150">
        <v>33</v>
      </c>
    </row>
    <row r="9" spans="1:23" x14ac:dyDescent="0.2">
      <c r="L9" s="78"/>
    </row>
    <row r="10" spans="1:23" x14ac:dyDescent="0.2">
      <c r="L10" s="78"/>
    </row>
    <row r="11" spans="1:23" s="87" customFormat="1" x14ac:dyDescent="0.2">
      <c r="B11" s="86"/>
      <c r="C11" s="86"/>
      <c r="L11" s="88"/>
    </row>
    <row r="12" spans="1:23" s="87" customFormat="1" x14ac:dyDescent="0.2">
      <c r="B12" s="86"/>
      <c r="C12" s="86"/>
      <c r="L12" s="88"/>
    </row>
    <row r="13" spans="1:23" x14ac:dyDescent="0.2">
      <c r="L13" s="78"/>
    </row>
    <row r="14" spans="1:23" x14ac:dyDescent="0.2">
      <c r="L14" s="78"/>
    </row>
    <row r="15" spans="1:23" s="83" customFormat="1" ht="10.8" thickBot="1" x14ac:dyDescent="0.25">
      <c r="B15" s="164"/>
      <c r="C15" s="164"/>
      <c r="L15" s="84"/>
      <c r="N15" s="85"/>
      <c r="O15" s="85"/>
    </row>
    <row r="16" spans="1:23" s="87" customFormat="1" x14ac:dyDescent="0.2">
      <c r="B16" s="89"/>
      <c r="C16" s="89"/>
      <c r="L16" s="88"/>
      <c r="N16" s="89"/>
      <c r="O16" s="89"/>
    </row>
    <row r="17" spans="1:22" ht="11.4" x14ac:dyDescent="0.2">
      <c r="B17" s="159" t="s">
        <v>249</v>
      </c>
      <c r="C17" s="159"/>
      <c r="D17" s="159"/>
      <c r="E17" s="82">
        <f>VLOOKUP($D$8,BD_Demografía!$A$4:$EX$37,3,FALSE)</f>
        <v>5615.67</v>
      </c>
      <c r="G17" s="135"/>
      <c r="H17" s="135"/>
      <c r="I17" s="135"/>
      <c r="J17" s="135"/>
      <c r="L17" s="78"/>
      <c r="M17" s="146"/>
      <c r="N17" s="159" t="s">
        <v>249</v>
      </c>
      <c r="O17" s="159"/>
      <c r="P17" s="159"/>
      <c r="Q17" s="82">
        <f>VLOOKUP($P$8,BD_Demografía!$A$4:$BX$37,3,FALSE)</f>
        <v>1960647</v>
      </c>
      <c r="S17" s="135"/>
      <c r="T17" s="135"/>
      <c r="U17" s="135"/>
      <c r="V17" s="135"/>
    </row>
    <row r="18" spans="1:22" x14ac:dyDescent="0.2">
      <c r="C18" s="72"/>
      <c r="E18" s="61"/>
      <c r="G18" s="163"/>
      <c r="H18" s="163"/>
      <c r="I18" s="163"/>
      <c r="J18" s="163"/>
      <c r="L18" s="78"/>
      <c r="O18" s="138"/>
      <c r="Q18" s="72"/>
      <c r="S18" s="163"/>
      <c r="T18" s="163"/>
      <c r="U18" s="163"/>
      <c r="V18" s="163"/>
    </row>
    <row r="19" spans="1:22" ht="10.199999999999999" customHeight="1" x14ac:dyDescent="0.2">
      <c r="B19" s="160" t="s">
        <v>347</v>
      </c>
      <c r="C19" s="160"/>
      <c r="D19" s="160"/>
      <c r="E19" s="132">
        <f>VLOOKUP($D$8,BD_Demografía!$A$4:$EX$37,4,FALSE)</f>
        <v>0.28641922793853253</v>
      </c>
      <c r="F19" s="135"/>
      <c r="G19" s="163"/>
      <c r="H19" s="163"/>
      <c r="I19" s="163"/>
      <c r="J19" s="163"/>
      <c r="L19" s="78"/>
      <c r="M19" s="147"/>
      <c r="N19" s="160" t="s">
        <v>347</v>
      </c>
      <c r="O19" s="160"/>
      <c r="P19" s="160"/>
      <c r="Q19" s="132">
        <f>VLOOKUP($P$8,BD_Demografía!$A$4:$BX$37,4,FALSE)</f>
        <v>100</v>
      </c>
      <c r="R19" s="135"/>
      <c r="S19" s="163"/>
      <c r="T19" s="163"/>
      <c r="U19" s="163"/>
      <c r="V19" s="163"/>
    </row>
    <row r="20" spans="1:22" x14ac:dyDescent="0.2">
      <c r="C20" s="72"/>
      <c r="E20" s="74"/>
      <c r="F20" s="135"/>
      <c r="G20" s="163"/>
      <c r="H20" s="163"/>
      <c r="I20" s="163"/>
      <c r="J20" s="163"/>
      <c r="L20" s="78"/>
      <c r="O20" s="138"/>
      <c r="Q20" s="74"/>
      <c r="R20" s="135"/>
      <c r="S20" s="163"/>
      <c r="T20" s="163"/>
      <c r="U20" s="163"/>
      <c r="V20" s="163"/>
    </row>
    <row r="21" spans="1:22" x14ac:dyDescent="0.2">
      <c r="B21" s="160" t="s">
        <v>348</v>
      </c>
      <c r="C21" s="160"/>
      <c r="D21" s="160"/>
      <c r="E21" s="133">
        <f>VLOOKUP($D$8,BD_Demografía!$A$4:$EX$37,131,FALSE)</f>
        <v>29</v>
      </c>
      <c r="F21" s="135"/>
      <c r="G21" s="163"/>
      <c r="H21" s="163"/>
      <c r="I21" s="163"/>
      <c r="J21" s="163"/>
      <c r="L21" s="78"/>
      <c r="M21" s="146"/>
      <c r="N21" s="160" t="s">
        <v>348</v>
      </c>
      <c r="O21" s="160"/>
      <c r="P21" s="160"/>
      <c r="Q21" s="133">
        <f>VLOOKUP($P$8,BD_Demografía!$A$4:$EY$37,131,FALSE)</f>
        <v>0</v>
      </c>
      <c r="R21" s="135"/>
      <c r="S21" s="163"/>
      <c r="T21" s="163"/>
      <c r="U21" s="163"/>
      <c r="V21" s="163"/>
    </row>
    <row r="22" spans="1:22" x14ac:dyDescent="0.2">
      <c r="C22" s="103"/>
      <c r="E22" s="74"/>
      <c r="F22" s="135"/>
      <c r="G22" s="163"/>
      <c r="H22" s="163"/>
      <c r="I22" s="163"/>
      <c r="J22" s="163"/>
      <c r="L22" s="78"/>
      <c r="O22" s="138"/>
      <c r="Q22" s="74"/>
      <c r="R22" s="135"/>
      <c r="S22" s="163"/>
      <c r="T22" s="163"/>
      <c r="U22" s="163"/>
      <c r="V22" s="163"/>
    </row>
    <row r="23" spans="1:22" x14ac:dyDescent="0.2">
      <c r="B23" s="161" t="s">
        <v>250</v>
      </c>
      <c r="C23" s="161"/>
      <c r="D23" s="161"/>
      <c r="E23" s="81">
        <f>VLOOKUP($D$8,BD_Demografía!$A$4:$EX$37,5,FALSE)</f>
        <v>11</v>
      </c>
      <c r="F23" s="135"/>
      <c r="G23" s="135"/>
      <c r="H23" s="135"/>
      <c r="I23" s="135"/>
      <c r="J23" s="135"/>
      <c r="L23" s="78"/>
      <c r="N23" s="161" t="s">
        <v>250</v>
      </c>
      <c r="O23" s="161"/>
      <c r="P23" s="161"/>
      <c r="Q23" s="81">
        <f>VLOOKUP($P$8,BD_Demografía!$A$4:$BX$37,5,FALSE)</f>
        <v>2471</v>
      </c>
      <c r="R23" s="135"/>
      <c r="S23" s="135"/>
      <c r="T23" s="135"/>
      <c r="U23" s="135"/>
      <c r="V23" s="135"/>
    </row>
    <row r="24" spans="1:22" x14ac:dyDescent="0.2">
      <c r="B24" s="148"/>
      <c r="C24" s="138"/>
      <c r="D24" s="148"/>
      <c r="E24" s="81"/>
      <c r="F24" s="135"/>
      <c r="G24" s="135"/>
      <c r="H24" s="135"/>
      <c r="I24" s="135"/>
      <c r="J24" s="135"/>
      <c r="L24" s="78"/>
      <c r="N24" s="148"/>
      <c r="O24" s="138"/>
      <c r="P24" s="148"/>
      <c r="Q24" s="81"/>
      <c r="R24" s="135"/>
      <c r="S24" s="135"/>
      <c r="T24" s="135"/>
      <c r="U24" s="135"/>
      <c r="V24" s="135"/>
    </row>
    <row r="25" spans="1:22" ht="11.4" x14ac:dyDescent="0.2">
      <c r="B25" s="161" t="s">
        <v>387</v>
      </c>
      <c r="C25" s="161"/>
      <c r="D25" s="161"/>
      <c r="E25" s="81">
        <f>VLOOKUP($D$8,BD_Demografía!$A$4:$EX$37,13,FALSE)</f>
        <v>253.86230853110001</v>
      </c>
      <c r="F25" s="135"/>
      <c r="G25" s="135"/>
      <c r="H25" s="135"/>
      <c r="I25" s="135"/>
      <c r="J25" s="135"/>
      <c r="L25" s="78"/>
      <c r="N25" s="161" t="s">
        <v>387</v>
      </c>
      <c r="O25" s="161"/>
      <c r="P25" s="161"/>
      <c r="Q25" s="81">
        <f>VLOOKUP($P$8,BD_Demografía!$A$4:$BX$37,13,FALSE)</f>
        <v>64.271664347200002</v>
      </c>
      <c r="R25" s="135"/>
      <c r="S25" s="135"/>
      <c r="T25" s="135"/>
      <c r="U25" s="135"/>
      <c r="V25" s="135"/>
    </row>
    <row r="26" spans="1:22" x14ac:dyDescent="0.2">
      <c r="B26" s="103"/>
      <c r="C26" s="103"/>
      <c r="E26" s="81"/>
      <c r="F26" s="134"/>
      <c r="G26" s="134"/>
      <c r="H26" s="134"/>
      <c r="I26" s="134"/>
      <c r="J26" s="134"/>
      <c r="L26" s="78"/>
      <c r="N26" s="138"/>
      <c r="O26" s="138"/>
      <c r="Q26" s="81"/>
      <c r="R26" s="134"/>
      <c r="S26" s="134"/>
      <c r="T26" s="134"/>
      <c r="U26" s="134"/>
      <c r="V26" s="134"/>
    </row>
    <row r="27" spans="1:22" x14ac:dyDescent="0.2">
      <c r="B27" s="161" t="s">
        <v>352</v>
      </c>
      <c r="C27" s="161"/>
      <c r="D27" s="161"/>
      <c r="E27" s="133">
        <f>VLOOKUP($D$8,BD_Demografía!$A$4:$EX$37,133,FALSE)</f>
        <v>5</v>
      </c>
      <c r="F27" s="134"/>
      <c r="G27" s="134"/>
      <c r="H27" s="134"/>
      <c r="I27" s="134"/>
      <c r="J27" s="134"/>
      <c r="L27" s="78"/>
      <c r="M27" s="146"/>
      <c r="N27" s="161" t="s">
        <v>352</v>
      </c>
      <c r="O27" s="161"/>
      <c r="P27" s="161"/>
      <c r="Q27" s="133" t="e">
        <f>VLOOKUP($P$8,BD_Demografía!$A$4:$EX$37,133,FALSE)</f>
        <v>#N/A</v>
      </c>
      <c r="R27" s="134"/>
      <c r="S27" s="134"/>
      <c r="T27" s="134"/>
      <c r="U27" s="134"/>
      <c r="V27" s="134"/>
    </row>
    <row r="28" spans="1:22" x14ac:dyDescent="0.2">
      <c r="A28" s="136"/>
      <c r="B28" s="136"/>
      <c r="C28" s="136"/>
      <c r="D28" s="133"/>
      <c r="E28" s="66"/>
      <c r="F28" s="137"/>
      <c r="G28" s="137"/>
      <c r="H28" s="137"/>
      <c r="I28" s="137"/>
      <c r="J28" s="137"/>
      <c r="L28" s="78"/>
      <c r="M28" s="136"/>
      <c r="N28" s="136"/>
      <c r="O28" s="136"/>
      <c r="P28" s="133"/>
      <c r="Q28" s="66"/>
      <c r="R28" s="137"/>
      <c r="S28" s="137"/>
      <c r="T28" s="137"/>
      <c r="U28" s="137"/>
      <c r="V28" s="137"/>
    </row>
    <row r="29" spans="1:22" ht="21.6" customHeight="1" x14ac:dyDescent="0.2">
      <c r="A29" s="136"/>
      <c r="B29" s="162" t="s">
        <v>386</v>
      </c>
      <c r="C29" s="162"/>
      <c r="D29" s="162"/>
      <c r="E29" s="162"/>
      <c r="F29" s="162"/>
      <c r="G29" s="162"/>
      <c r="H29" s="162"/>
      <c r="I29" s="162"/>
      <c r="J29" s="162"/>
      <c r="L29" s="78"/>
      <c r="M29" s="136"/>
      <c r="N29" s="162" t="s">
        <v>386</v>
      </c>
      <c r="O29" s="162"/>
      <c r="P29" s="162"/>
      <c r="Q29" s="162"/>
      <c r="R29" s="162"/>
      <c r="S29" s="162"/>
      <c r="T29" s="162"/>
      <c r="U29" s="162"/>
      <c r="V29" s="162"/>
    </row>
    <row r="30" spans="1:22" x14ac:dyDescent="0.2">
      <c r="L30" s="78"/>
    </row>
    <row r="31" spans="1:22" x14ac:dyDescent="0.2">
      <c r="L31" s="78"/>
    </row>
    <row r="32" spans="1:22" s="83" customFormat="1" ht="10.8" thickBot="1" x14ac:dyDescent="0.25">
      <c r="B32" s="164"/>
      <c r="C32" s="164"/>
      <c r="L32" s="84"/>
      <c r="N32" s="85"/>
      <c r="O32" s="85"/>
    </row>
    <row r="33" spans="2:21" x14ac:dyDescent="0.2">
      <c r="B33" s="68"/>
      <c r="C33" s="68"/>
      <c r="L33" s="78"/>
      <c r="N33" s="68"/>
      <c r="O33" s="68"/>
    </row>
    <row r="34" spans="2:21" ht="21.6" customHeight="1" x14ac:dyDescent="0.2">
      <c r="B34" s="160" t="s">
        <v>251</v>
      </c>
      <c r="C34" s="166"/>
      <c r="D34" s="74">
        <f>VLOOKUP($D$8,BD_Demografía!$A$4:$BX$37,7,FALSE)</f>
        <v>1.1313082105845616E-2</v>
      </c>
      <c r="L34" s="78"/>
      <c r="N34" s="160" t="s">
        <v>251</v>
      </c>
      <c r="O34" s="160"/>
      <c r="P34" s="74">
        <f>VLOOKUP($P$8,BD_Demografía!$A$4:$BX$37,7,FALSE)</f>
        <v>1</v>
      </c>
    </row>
    <row r="35" spans="2:21" x14ac:dyDescent="0.2">
      <c r="B35" s="68"/>
      <c r="C35" s="68"/>
      <c r="L35" s="78"/>
      <c r="N35" s="68"/>
      <c r="O35" s="68"/>
    </row>
    <row r="36" spans="2:21" x14ac:dyDescent="0.2">
      <c r="L36" s="78"/>
    </row>
    <row r="37" spans="2:21" x14ac:dyDescent="0.2">
      <c r="L37" s="78"/>
    </row>
    <row r="38" spans="2:21" ht="21" x14ac:dyDescent="0.2">
      <c r="H38" s="167">
        <f>SUM(D39+F39)</f>
        <v>1425607</v>
      </c>
      <c r="I38" s="167"/>
      <c r="K38" s="69"/>
      <c r="L38" s="79"/>
      <c r="M38" s="70"/>
      <c r="T38" s="167">
        <f>SUM(P39+R39)</f>
        <v>126014024</v>
      </c>
      <c r="U38" s="167"/>
    </row>
    <row r="39" spans="2:21" x14ac:dyDescent="0.2">
      <c r="C39" s="76" t="s">
        <v>272</v>
      </c>
      <c r="D39" s="81">
        <f>VLOOKUP($D$8,BD_Demografía!$A$4:$BX$37,8,FALSE)</f>
        <v>728924</v>
      </c>
      <c r="F39" s="81">
        <f>VLOOKUP($D$8,BD_Demografía!$A$4:$BX$37,9,FALSE)</f>
        <v>696683</v>
      </c>
      <c r="L39" s="78"/>
      <c r="O39" s="76" t="s">
        <v>272</v>
      </c>
      <c r="P39" s="81">
        <f>VLOOKUP($P$8,BD_Demografía!$A$4:$BX$37,8,FALSE)</f>
        <v>64540634</v>
      </c>
      <c r="Q39" s="81"/>
      <c r="R39" s="81">
        <f>VLOOKUP($P$8,BD_Demografía!$A$4:$BX$37,9,FALSE)</f>
        <v>61473390</v>
      </c>
    </row>
    <row r="40" spans="2:21" x14ac:dyDescent="0.2">
      <c r="C40" s="76" t="s">
        <v>271</v>
      </c>
      <c r="D40" s="73">
        <f>D39/$H$38</f>
        <v>0.51130781484658816</v>
      </c>
      <c r="F40" s="73">
        <f>F39/$H$38</f>
        <v>0.48869218515341184</v>
      </c>
      <c r="L40" s="78"/>
      <c r="O40" s="76" t="s">
        <v>271</v>
      </c>
      <c r="P40" s="73">
        <f>P39/$T$38</f>
        <v>0.51217024860661542</v>
      </c>
      <c r="Q40" s="73"/>
      <c r="R40" s="73">
        <f>R39/$T$38</f>
        <v>0.48782975139338458</v>
      </c>
    </row>
    <row r="41" spans="2:21" ht="17.399999999999999" x14ac:dyDescent="0.2">
      <c r="C41" s="72" t="s">
        <v>279</v>
      </c>
      <c r="D41" s="90">
        <f>VLOOKUP($D$8,BD_Demografía!$A$4:$BX$37,15,FALSE)</f>
        <v>79</v>
      </c>
      <c r="E41" s="77"/>
      <c r="F41" s="90">
        <f>VLOOKUP($D$8,BD_Demografía!$A$4:$BX$37,16,FALSE)</f>
        <v>73.06</v>
      </c>
      <c r="H41" s="91">
        <f>VLOOKUP($D$8,BD_Demografía!$A$4:$BX$37,14,FALSE)</f>
        <v>76.010000000000005</v>
      </c>
      <c r="L41" s="78"/>
      <c r="O41" s="72" t="s">
        <v>279</v>
      </c>
      <c r="P41" s="90">
        <f>VLOOKUP($P$8,BD_Demografía!$A$4:$BX$37,15,FALSE)</f>
        <v>78.239999999999995</v>
      </c>
      <c r="Q41" s="77"/>
      <c r="R41" s="90">
        <f>VLOOKUP($P$8,BD_Demografía!$A$4:$BX$37,16,FALSE)</f>
        <v>72.489999999999995</v>
      </c>
      <c r="T41" s="91">
        <f>VLOOKUP($P$8,BD_Demografía!$A$4:$BX$37,14,FALSE)</f>
        <v>75.349999999999994</v>
      </c>
    </row>
    <row r="42" spans="2:21" ht="17.399999999999999" x14ac:dyDescent="0.2">
      <c r="C42" s="72" t="s">
        <v>270</v>
      </c>
      <c r="D42" s="75">
        <f>VLOOKUP($D$8,BD_Demografía!$A$4:$BX$37,18,FALSE)</f>
        <v>28</v>
      </c>
      <c r="F42" s="75">
        <f>VLOOKUP($D$8,BD_Demografía!$A$4:$BX$37,19,FALSE)</f>
        <v>26</v>
      </c>
      <c r="H42" s="92">
        <f>VLOOKUP($D$8,BD_Demografía!$A$4:$BX$37,17,FALSE)</f>
        <v>27</v>
      </c>
      <c r="L42" s="78"/>
      <c r="O42" s="72" t="s">
        <v>270</v>
      </c>
      <c r="P42" s="75">
        <f>VLOOKUP($P$8,BD_Demografía!$A$4:$BX$37,18,FALSE)</f>
        <v>30</v>
      </c>
      <c r="R42" s="75">
        <f>VLOOKUP($P$8,BD_Demografía!$A$4:$BX$37,19,FALSE)</f>
        <v>28</v>
      </c>
      <c r="T42" s="92">
        <f>VLOOKUP($P$8,BD_Demografía!$A$4:$BX$37,17,FALSE)</f>
        <v>29</v>
      </c>
    </row>
    <row r="43" spans="2:21" x14ac:dyDescent="0.2">
      <c r="L43" s="78"/>
    </row>
    <row r="44" spans="2:21" x14ac:dyDescent="0.2">
      <c r="B44" s="169" t="str">
        <f>CONCATENATE(VLOOKUP($D$8,BD_Demografía!$A$4:$BX$37,2,FALSE),": Habitantes por edad y sexo 2020")</f>
        <v>Aguascalientes: Habitantes por edad y sexo 2020</v>
      </c>
      <c r="C44" s="169"/>
      <c r="D44" s="169"/>
      <c r="E44" s="169"/>
      <c r="F44" s="169"/>
      <c r="G44" s="169"/>
      <c r="H44" s="169"/>
      <c r="I44" s="169"/>
      <c r="J44" s="169"/>
      <c r="K44" s="67"/>
      <c r="L44" s="80"/>
      <c r="N44" s="169" t="str">
        <f>CONCATENATE(VLOOKUP($P$8,BD_Demografía!$A$4:$BX$37,2,FALSE),": Habitantes por edad y sexo 2020")</f>
        <v>Estados Unidos Mexicanos: Habitantes por edad y sexo 2020</v>
      </c>
      <c r="O44" s="169"/>
      <c r="P44" s="169"/>
      <c r="Q44" s="169"/>
      <c r="R44" s="169"/>
      <c r="S44" s="169"/>
      <c r="T44" s="169"/>
    </row>
    <row r="45" spans="2:21" x14ac:dyDescent="0.2">
      <c r="L45" s="78"/>
    </row>
    <row r="46" spans="2:21" ht="10.8" thickBot="1" x14ac:dyDescent="0.25">
      <c r="L46" s="78"/>
    </row>
    <row r="47" spans="2:21" ht="10.8" thickBot="1" x14ac:dyDescent="0.25">
      <c r="B47" s="101" t="s">
        <v>276</v>
      </c>
      <c r="C47" s="102" t="s">
        <v>175</v>
      </c>
      <c r="D47" s="102" t="s">
        <v>174</v>
      </c>
      <c r="F47" s="101" t="s">
        <v>276</v>
      </c>
      <c r="G47" s="102" t="s">
        <v>175</v>
      </c>
      <c r="H47" s="102" t="s">
        <v>174</v>
      </c>
      <c r="I47" s="102" t="s">
        <v>36</v>
      </c>
      <c r="L47" s="78"/>
      <c r="N47" s="101" t="s">
        <v>276</v>
      </c>
      <c r="O47" s="102" t="s">
        <v>175</v>
      </c>
      <c r="P47" s="102" t="s">
        <v>174</v>
      </c>
      <c r="R47" s="101" t="s">
        <v>276</v>
      </c>
      <c r="S47" s="102" t="s">
        <v>175</v>
      </c>
      <c r="T47" s="102" t="s">
        <v>174</v>
      </c>
      <c r="U47" s="102" t="s">
        <v>36</v>
      </c>
    </row>
    <row r="48" spans="2:21" x14ac:dyDescent="0.2">
      <c r="L48" s="78"/>
    </row>
    <row r="49" spans="2:21" x14ac:dyDescent="0.2">
      <c r="B49" s="63" t="s">
        <v>269</v>
      </c>
      <c r="C49" s="61">
        <f>(G49*-1)/I49*100</f>
        <v>49.386803825444026</v>
      </c>
      <c r="D49" s="61">
        <f>H49/I49*100</f>
        <v>50.613196174555974</v>
      </c>
      <c r="F49" s="63" t="s">
        <v>269</v>
      </c>
      <c r="G49" s="144">
        <f>VLOOKUP($D$8,BD_Demografía!$A$4:$BX$37,20,FALSE)*(-1)</f>
        <v>-61452</v>
      </c>
      <c r="H49" s="145">
        <f>VLOOKUP($D$8,BD_Demografía!$A$4:$BX$37,39,FALSE)</f>
        <v>62978</v>
      </c>
      <c r="I49" s="66">
        <f>(G49*-1)+H49</f>
        <v>124430</v>
      </c>
      <c r="L49" s="78"/>
      <c r="N49" s="63" t="s">
        <v>269</v>
      </c>
      <c r="O49" s="61">
        <f>(S49*-1)/U49*100</f>
        <v>49.464541200603342</v>
      </c>
      <c r="P49" s="61">
        <f>T49/U49*100</f>
        <v>50.535458799396658</v>
      </c>
      <c r="R49" s="63" t="s">
        <v>269</v>
      </c>
      <c r="S49" s="144">
        <f>VLOOKUP($P$8,BD_Demografía!$A$4:$BX$37,20,FALSE)*(-1)</f>
        <v>-4969883</v>
      </c>
      <c r="T49" s="66">
        <f>VLOOKUP($P$8,BD_Demografía!$A$4:$BX$37,39,FALSE)</f>
        <v>5077482</v>
      </c>
      <c r="U49" s="66">
        <f>(S49*-1)+T49</f>
        <v>10047365</v>
      </c>
    </row>
    <row r="50" spans="2:21" x14ac:dyDescent="0.2">
      <c r="B50" s="63" t="s">
        <v>252</v>
      </c>
      <c r="C50" s="61">
        <f t="shared" ref="C50:C67" si="0">(G50*-1)/I50*100</f>
        <v>49.362828887125325</v>
      </c>
      <c r="D50" s="61">
        <f t="shared" ref="D50:D67" si="1">H50/I50*100</f>
        <v>50.637171112874668</v>
      </c>
      <c r="F50" s="63" t="s">
        <v>252</v>
      </c>
      <c r="G50" s="144">
        <f>VLOOKUP($D$8,BD_Demografía!$A$4:$BX$37,21,FALSE)*(-1)</f>
        <v>-64689</v>
      </c>
      <c r="H50" s="145">
        <f>(VLOOKUP($D$8,BD_Demografía!$A$4:$BX$37,40,FALSE))</f>
        <v>66359</v>
      </c>
      <c r="I50" s="66">
        <f t="shared" ref="I50:I67" si="2">(G50*-1)+H50</f>
        <v>131048</v>
      </c>
      <c r="L50" s="78"/>
      <c r="N50" s="63" t="s">
        <v>252</v>
      </c>
      <c r="O50" s="61">
        <f t="shared" ref="O50:O67" si="3">(S50*-1)/U50*100</f>
        <v>49.341332184606287</v>
      </c>
      <c r="P50" s="61">
        <f t="shared" ref="P50:P67" si="4">T50/U50*100</f>
        <v>50.65866781539372</v>
      </c>
      <c r="R50" s="63" t="s">
        <v>252</v>
      </c>
      <c r="S50" s="144">
        <f>VLOOKUP($P$8,BD_Demografía!$A$4:$BX$37,21,FALSE)*(-1)</f>
        <v>-5311288</v>
      </c>
      <c r="T50" s="66">
        <f>(VLOOKUP($P$8,BD_Demografía!$A$4:$BX$37,40,FALSE))</f>
        <v>5453091</v>
      </c>
      <c r="U50" s="66">
        <f t="shared" ref="U50:U67" si="5">(S50*-1)+T50</f>
        <v>10764379</v>
      </c>
    </row>
    <row r="51" spans="2:21" x14ac:dyDescent="0.2">
      <c r="B51" s="63" t="s">
        <v>253</v>
      </c>
      <c r="C51" s="61">
        <f t="shared" si="0"/>
        <v>49.058334682424046</v>
      </c>
      <c r="D51" s="61">
        <f t="shared" si="1"/>
        <v>50.941665317575954</v>
      </c>
      <c r="F51" s="63" t="s">
        <v>253</v>
      </c>
      <c r="G51" s="144">
        <f>VLOOKUP($D$8,BD_Demografía!$A$4:$BX$37,22,FALSE)*(-1)</f>
        <v>-63637</v>
      </c>
      <c r="H51" s="145">
        <f>(VLOOKUP($D$8,BD_Demografía!$A$4:$BX$37,41,FALSE))</f>
        <v>66080</v>
      </c>
      <c r="I51" s="66">
        <f t="shared" si="2"/>
        <v>129717</v>
      </c>
      <c r="L51" s="78"/>
      <c r="N51" s="63" t="s">
        <v>253</v>
      </c>
      <c r="O51" s="61">
        <f t="shared" si="3"/>
        <v>49.246221972049263</v>
      </c>
      <c r="P51" s="61">
        <f t="shared" si="4"/>
        <v>50.753778027950737</v>
      </c>
      <c r="R51" s="63" t="s">
        <v>253</v>
      </c>
      <c r="S51" s="144">
        <f>VLOOKUP($P$8,BD_Demografía!$A$4:$BX$37,22,FALSE)*(-1)</f>
        <v>-5389280</v>
      </c>
      <c r="T51" s="66">
        <f>(VLOOKUP($P$8,BD_Demografía!$A$4:$BX$37,41,FALSE))</f>
        <v>5554260</v>
      </c>
      <c r="U51" s="66">
        <f t="shared" si="5"/>
        <v>10943540</v>
      </c>
    </row>
    <row r="52" spans="2:21" x14ac:dyDescent="0.2">
      <c r="B52" s="63" t="s">
        <v>254</v>
      </c>
      <c r="C52" s="61">
        <f t="shared" si="0"/>
        <v>49.303234899633999</v>
      </c>
      <c r="D52" s="61">
        <f t="shared" si="1"/>
        <v>50.696765100366001</v>
      </c>
      <c r="F52" s="63" t="s">
        <v>254</v>
      </c>
      <c r="G52" s="144">
        <f>VLOOKUP($D$8,BD_Demografía!$A$4:$BX$37,23,FALSE)*(-1)</f>
        <v>-65064</v>
      </c>
      <c r="H52" s="145">
        <f>(VLOOKUP($D$8,BD_Demografía!$A$4:$BX$37,42,FALSE))</f>
        <v>66903</v>
      </c>
      <c r="I52" s="66">
        <f t="shared" si="2"/>
        <v>131967</v>
      </c>
      <c r="L52" s="78"/>
      <c r="N52" s="63" t="s">
        <v>254</v>
      </c>
      <c r="O52" s="61">
        <f t="shared" si="3"/>
        <v>49.455846332225683</v>
      </c>
      <c r="P52" s="61">
        <f t="shared" si="4"/>
        <v>50.544153667774317</v>
      </c>
      <c r="R52" s="63" t="s">
        <v>254</v>
      </c>
      <c r="S52" s="144">
        <f>VLOOKUP($P$8,BD_Demografía!$A$4:$BX$37,23,FALSE)*(-1)</f>
        <v>-5344540</v>
      </c>
      <c r="T52" s="66">
        <f>(VLOOKUP($P$8,BD_Demografía!$A$4:$BX$37,42,FALSE))</f>
        <v>5462150</v>
      </c>
      <c r="U52" s="66">
        <f t="shared" si="5"/>
        <v>10806690</v>
      </c>
    </row>
    <row r="53" spans="2:21" x14ac:dyDescent="0.2">
      <c r="B53" s="63" t="s">
        <v>255</v>
      </c>
      <c r="C53" s="61">
        <f t="shared" si="0"/>
        <v>50.280270823492366</v>
      </c>
      <c r="D53" s="61">
        <f t="shared" si="1"/>
        <v>49.719729176507634</v>
      </c>
      <c r="F53" s="63" t="s">
        <v>255</v>
      </c>
      <c r="G53" s="144">
        <f>VLOOKUP($D$8,BD_Demografía!$A$4:$BX$37,24,FALSE)*(-1)</f>
        <v>-63866</v>
      </c>
      <c r="H53" s="145">
        <f>(VLOOKUP($D$8,BD_Demografía!$A$4:$BX$37,43,FALSE))</f>
        <v>63154</v>
      </c>
      <c r="I53" s="66">
        <f t="shared" si="2"/>
        <v>127020</v>
      </c>
      <c r="L53" s="78"/>
      <c r="N53" s="63" t="s">
        <v>255</v>
      </c>
      <c r="O53" s="61">
        <f t="shared" si="3"/>
        <v>50.433343775891501</v>
      </c>
      <c r="P53" s="61">
        <f t="shared" si="4"/>
        <v>49.566656224108492</v>
      </c>
      <c r="R53" s="63" t="s">
        <v>255</v>
      </c>
      <c r="S53" s="144">
        <f>VLOOKUP($P$8,BD_Demografía!$A$4:$BX$37,24,FALSE)*(-1)</f>
        <v>-5256211</v>
      </c>
      <c r="T53" s="66">
        <f>(VLOOKUP($P$8,BD_Demografía!$A$4:$BX$37,43,FALSE))</f>
        <v>5165884</v>
      </c>
      <c r="U53" s="66">
        <f t="shared" si="5"/>
        <v>10422095</v>
      </c>
    </row>
    <row r="54" spans="2:21" x14ac:dyDescent="0.2">
      <c r="B54" s="63" t="s">
        <v>256</v>
      </c>
      <c r="C54" s="61">
        <f t="shared" si="0"/>
        <v>50.905206626923139</v>
      </c>
      <c r="D54" s="61">
        <f t="shared" si="1"/>
        <v>49.094793373076854</v>
      </c>
      <c r="F54" s="63" t="s">
        <v>256</v>
      </c>
      <c r="G54" s="144">
        <f>VLOOKUP($D$8,BD_Demografía!$A$4:$BX$37,25,FALSE)*(-1)</f>
        <v>-60285</v>
      </c>
      <c r="H54" s="145">
        <f>(VLOOKUP($D$8,BD_Demografía!$A$4:$BX$37,44,FALSE))</f>
        <v>58141</v>
      </c>
      <c r="I54" s="66">
        <f t="shared" si="2"/>
        <v>118426</v>
      </c>
      <c r="L54" s="78"/>
      <c r="N54" s="63" t="s">
        <v>256</v>
      </c>
      <c r="O54" s="61">
        <f t="shared" si="3"/>
        <v>51.351911202650733</v>
      </c>
      <c r="P54" s="61">
        <f t="shared" si="4"/>
        <v>48.648088797349267</v>
      </c>
      <c r="R54" s="63" t="s">
        <v>256</v>
      </c>
      <c r="S54" s="144">
        <f>VLOOKUP($P$8,BD_Demografía!$A$4:$BX$37,25,FALSE)*(-1)</f>
        <v>-5131597</v>
      </c>
      <c r="T54" s="66">
        <f>(VLOOKUP($P$8,BD_Demografía!$A$4:$BX$37,44,FALSE))</f>
        <v>4861404</v>
      </c>
      <c r="U54" s="66">
        <f t="shared" si="5"/>
        <v>9993001</v>
      </c>
    </row>
    <row r="55" spans="2:21" x14ac:dyDescent="0.2">
      <c r="B55" s="63" t="s">
        <v>257</v>
      </c>
      <c r="C55" s="61">
        <f t="shared" si="0"/>
        <v>51.648958577112104</v>
      </c>
      <c r="D55" s="61">
        <f t="shared" si="1"/>
        <v>48.351041422887903</v>
      </c>
      <c r="F55" s="63" t="s">
        <v>257</v>
      </c>
      <c r="G55" s="144">
        <f>VLOOKUP($D$8,BD_Demografía!$A$4:$BX$37,26,FALSE)*(-1)</f>
        <v>-55174</v>
      </c>
      <c r="H55" s="145">
        <f>(VLOOKUP($D$8,BD_Demografía!$A$4:$BX$37,45,FALSE))</f>
        <v>51651</v>
      </c>
      <c r="I55" s="66">
        <f t="shared" si="2"/>
        <v>106825</v>
      </c>
      <c r="L55" s="78"/>
      <c r="N55" s="63" t="s">
        <v>257</v>
      </c>
      <c r="O55" s="61">
        <f t="shared" si="3"/>
        <v>51.939187504451581</v>
      </c>
      <c r="P55" s="61">
        <f t="shared" si="4"/>
        <v>48.060812495548426</v>
      </c>
      <c r="R55" s="63" t="s">
        <v>257</v>
      </c>
      <c r="S55" s="144">
        <f>VLOOKUP($P$8,BD_Demografía!$A$4:$BX$37,26,FALSE)*(-1)</f>
        <v>-4893101</v>
      </c>
      <c r="T55" s="66">
        <f>(VLOOKUP($P$8,BD_Demografía!$A$4:$BX$37,45,FALSE))</f>
        <v>4527726</v>
      </c>
      <c r="U55" s="66">
        <f t="shared" si="5"/>
        <v>9420827</v>
      </c>
    </row>
    <row r="56" spans="2:21" x14ac:dyDescent="0.2">
      <c r="B56" s="63" t="s">
        <v>258</v>
      </c>
      <c r="C56" s="61">
        <f t="shared" si="0"/>
        <v>51.868382078845819</v>
      </c>
      <c r="D56" s="61">
        <f t="shared" si="1"/>
        <v>48.131617921154174</v>
      </c>
      <c r="F56" s="63" t="s">
        <v>258</v>
      </c>
      <c r="G56" s="144">
        <f>VLOOKUP($D$8,BD_Demografía!$A$4:$BX$37,27,FALSE)*(-1)</f>
        <v>-51483</v>
      </c>
      <c r="H56" s="145">
        <f>(VLOOKUP($D$8,BD_Demografía!$A$4:$BX$37,46,FALSE))</f>
        <v>47774</v>
      </c>
      <c r="I56" s="66">
        <f t="shared" si="2"/>
        <v>99257</v>
      </c>
      <c r="L56" s="78"/>
      <c r="N56" s="63" t="s">
        <v>258</v>
      </c>
      <c r="O56" s="61">
        <f t="shared" si="3"/>
        <v>51.98007245011128</v>
      </c>
      <c r="P56" s="61">
        <f t="shared" si="4"/>
        <v>48.01992754988872</v>
      </c>
      <c r="R56" s="63" t="s">
        <v>258</v>
      </c>
      <c r="S56" s="144">
        <f>VLOOKUP($P$8,BD_Demografía!$A$4:$BX$37,27,FALSE)*(-1)</f>
        <v>-4688746</v>
      </c>
      <c r="T56" s="66">
        <f>(VLOOKUP($P$8,BD_Demografía!$A$4:$BX$37,46,FALSE))</f>
        <v>4331530</v>
      </c>
      <c r="U56" s="66">
        <f t="shared" si="5"/>
        <v>9020276</v>
      </c>
    </row>
    <row r="57" spans="2:21" x14ac:dyDescent="0.2">
      <c r="B57" s="63" t="s">
        <v>259</v>
      </c>
      <c r="C57" s="61">
        <f t="shared" si="0"/>
        <v>52.543895732750222</v>
      </c>
      <c r="D57" s="61">
        <f t="shared" si="1"/>
        <v>47.456104267249778</v>
      </c>
      <c r="F57" s="63" t="s">
        <v>259</v>
      </c>
      <c r="G57" s="144">
        <f>VLOOKUP($D$8,BD_Demografía!$A$4:$BX$37,28,FALSE)*(-1)</f>
        <v>-48539</v>
      </c>
      <c r="H57" s="145">
        <f>(VLOOKUP($D$8,BD_Demografía!$A$4:$BX$37,47,FALSE))</f>
        <v>43839</v>
      </c>
      <c r="I57" s="66">
        <f t="shared" si="2"/>
        <v>92378</v>
      </c>
      <c r="L57" s="78"/>
      <c r="N57" s="63" t="s">
        <v>259</v>
      </c>
      <c r="O57" s="61">
        <f t="shared" si="3"/>
        <v>52.228342254667616</v>
      </c>
      <c r="P57" s="61">
        <f t="shared" si="4"/>
        <v>47.771657745332377</v>
      </c>
      <c r="R57" s="63" t="s">
        <v>259</v>
      </c>
      <c r="S57" s="144">
        <f>VLOOKUP($P$8,BD_Demografía!$A$4:$BX$37,28,FALSE)*(-1)</f>
        <v>-4441282</v>
      </c>
      <c r="T57" s="66">
        <f>(VLOOKUP($P$8,BD_Demografía!$A$4:$BX$37,47,FALSE))</f>
        <v>4062304</v>
      </c>
      <c r="U57" s="66">
        <f t="shared" si="5"/>
        <v>8503586</v>
      </c>
    </row>
    <row r="58" spans="2:21" x14ac:dyDescent="0.2">
      <c r="B58" s="63" t="s">
        <v>260</v>
      </c>
      <c r="C58" s="61">
        <f t="shared" si="0"/>
        <v>52.564693099009084</v>
      </c>
      <c r="D58" s="61">
        <f t="shared" si="1"/>
        <v>47.435306900990923</v>
      </c>
      <c r="F58" s="63" t="s">
        <v>260</v>
      </c>
      <c r="G58" s="144">
        <f>VLOOKUP($D$8,BD_Demografía!$A$4:$BX$37,29,FALSE)*(-1)</f>
        <v>-44506</v>
      </c>
      <c r="H58" s="145">
        <f>(VLOOKUP($D$8,BD_Demografía!$A$4:$BX$37,48,FALSE))</f>
        <v>40163</v>
      </c>
      <c r="I58" s="66">
        <f t="shared" si="2"/>
        <v>84669</v>
      </c>
      <c r="L58" s="78"/>
      <c r="N58" s="63" t="s">
        <v>260</v>
      </c>
      <c r="O58" s="61">
        <f t="shared" si="3"/>
        <v>52.000179290600975</v>
      </c>
      <c r="P58" s="61">
        <f t="shared" si="4"/>
        <v>47.999820709399025</v>
      </c>
      <c r="R58" s="63" t="s">
        <v>260</v>
      </c>
      <c r="S58" s="144">
        <f>VLOOKUP($P$8,BD_Demografía!$A$4:$BX$37,29,FALSE)*(-1)</f>
        <v>-4130069</v>
      </c>
      <c r="T58" s="66">
        <f>(VLOOKUP($P$8,BD_Demografía!$A$4:$BX$37,48,FALSE))</f>
        <v>3812344</v>
      </c>
      <c r="U58" s="66">
        <f t="shared" si="5"/>
        <v>7942413</v>
      </c>
    </row>
    <row r="59" spans="2:21" x14ac:dyDescent="0.2">
      <c r="B59" s="63" t="s">
        <v>261</v>
      </c>
      <c r="C59" s="61">
        <f t="shared" si="0"/>
        <v>53.304731452624765</v>
      </c>
      <c r="D59" s="61">
        <f t="shared" si="1"/>
        <v>46.695268547375242</v>
      </c>
      <c r="F59" s="63" t="s">
        <v>261</v>
      </c>
      <c r="G59" s="144">
        <f>VLOOKUP($D$8,BD_Demografía!$A$4:$BX$37,30,FALSE)*(-1)</f>
        <v>-39510</v>
      </c>
      <c r="H59" s="145">
        <f>(VLOOKUP($D$8,BD_Demografía!$A$4:$BX$37,49,FALSE))</f>
        <v>34611</v>
      </c>
      <c r="I59" s="66">
        <f t="shared" si="2"/>
        <v>74121</v>
      </c>
      <c r="L59" s="78"/>
      <c r="N59" s="63" t="s">
        <v>261</v>
      </c>
      <c r="O59" s="61">
        <f t="shared" si="3"/>
        <v>52.651540341130953</v>
      </c>
      <c r="P59" s="61">
        <f t="shared" si="4"/>
        <v>47.348459658869047</v>
      </c>
      <c r="R59" s="63" t="s">
        <v>261</v>
      </c>
      <c r="S59" s="144">
        <f>VLOOKUP($P$8,BD_Demografía!$A$4:$BX$37,30,FALSE)*(-1)</f>
        <v>-3705369</v>
      </c>
      <c r="T59" s="66">
        <f>(VLOOKUP($P$8,BD_Demografía!$A$4:$BX$37,49,FALSE))</f>
        <v>3332163</v>
      </c>
      <c r="U59" s="66">
        <f t="shared" si="5"/>
        <v>7037532</v>
      </c>
    </row>
    <row r="60" spans="2:21" x14ac:dyDescent="0.2">
      <c r="B60" s="63" t="s">
        <v>262</v>
      </c>
      <c r="C60" s="61">
        <f t="shared" si="0"/>
        <v>53.099464877261525</v>
      </c>
      <c r="D60" s="61">
        <f t="shared" si="1"/>
        <v>46.900535122738468</v>
      </c>
      <c r="F60" s="63" t="s">
        <v>262</v>
      </c>
      <c r="G60" s="144">
        <f>VLOOKUP($D$8,BD_Demografía!$A$4:$BX$37,31,FALSE)*(-1)</f>
        <v>-31257</v>
      </c>
      <c r="H60" s="145">
        <f>(VLOOKUP($D$8,BD_Demografía!$A$4:$BX$37,50,FALSE))</f>
        <v>27608</v>
      </c>
      <c r="I60" s="66">
        <f t="shared" si="2"/>
        <v>58865</v>
      </c>
      <c r="L60" s="78"/>
      <c r="N60" s="63" t="s">
        <v>262</v>
      </c>
      <c r="O60" s="61">
        <f t="shared" si="3"/>
        <v>52.721280599330264</v>
      </c>
      <c r="P60" s="61">
        <f t="shared" si="4"/>
        <v>47.278719400669736</v>
      </c>
      <c r="R60" s="63" t="s">
        <v>262</v>
      </c>
      <c r="S60" s="144">
        <f>VLOOKUP($P$8,BD_Demografía!$A$4:$BX$37,31,FALSE)*(-1)</f>
        <v>-3002982</v>
      </c>
      <c r="T60" s="66">
        <f>(VLOOKUP($P$8,BD_Demografía!$A$4:$BX$37,50,FALSE))</f>
        <v>2692976</v>
      </c>
      <c r="U60" s="66">
        <f t="shared" si="5"/>
        <v>5695958</v>
      </c>
    </row>
    <row r="61" spans="2:21" x14ac:dyDescent="0.2">
      <c r="B61" s="63" t="s">
        <v>263</v>
      </c>
      <c r="C61" s="61">
        <f t="shared" si="0"/>
        <v>53.556494017306342</v>
      </c>
      <c r="D61" s="61">
        <f t="shared" si="1"/>
        <v>46.443505982693658</v>
      </c>
      <c r="F61" s="63" t="s">
        <v>263</v>
      </c>
      <c r="G61" s="144">
        <f>VLOOKUP($D$8,BD_Demografía!$A$4:$BX$37,32,FALSE)*(-1)</f>
        <v>-25871</v>
      </c>
      <c r="H61" s="145">
        <f>(VLOOKUP($D$8,BD_Demografía!$A$4:$BX$37,51,FALSE))</f>
        <v>22435</v>
      </c>
      <c r="I61" s="66">
        <f t="shared" si="2"/>
        <v>48306</v>
      </c>
      <c r="L61" s="78"/>
      <c r="N61" s="63" t="s">
        <v>263</v>
      </c>
      <c r="O61" s="61">
        <f t="shared" si="3"/>
        <v>53.166708911853867</v>
      </c>
      <c r="P61" s="61">
        <f t="shared" si="4"/>
        <v>46.83329108814614</v>
      </c>
      <c r="R61" s="63" t="s">
        <v>263</v>
      </c>
      <c r="S61" s="144">
        <f>VLOOKUP($P$8,BD_Demografía!$A$4:$BX$37,32,FALSE)*(-1)</f>
        <v>-2563200</v>
      </c>
      <c r="T61" s="66">
        <f>(VLOOKUP($P$8,BD_Demografía!$A$4:$BX$37,51,FALSE))</f>
        <v>2257862</v>
      </c>
      <c r="U61" s="66">
        <f t="shared" si="5"/>
        <v>4821062</v>
      </c>
    </row>
    <row r="62" spans="2:21" x14ac:dyDescent="0.2">
      <c r="B62" s="63" t="s">
        <v>264</v>
      </c>
      <c r="C62" s="61">
        <f t="shared" si="0"/>
        <v>53.387488485051506</v>
      </c>
      <c r="D62" s="61">
        <f t="shared" si="1"/>
        <v>46.612511514948494</v>
      </c>
      <c r="F62" s="63" t="s">
        <v>264</v>
      </c>
      <c r="G62" s="144">
        <f>VLOOKUP($D$8,BD_Demografía!$A$4:$BX$37,33,FALSE)*(-1)</f>
        <v>-19125</v>
      </c>
      <c r="H62" s="145">
        <f>(VLOOKUP($D$8,BD_Demografía!$A$4:$BX$37,52,FALSE))</f>
        <v>16698</v>
      </c>
      <c r="I62" s="66">
        <f t="shared" si="2"/>
        <v>35823</v>
      </c>
      <c r="L62" s="78"/>
      <c r="N62" s="63" t="s">
        <v>264</v>
      </c>
      <c r="O62" s="61">
        <f t="shared" si="3"/>
        <v>53.173828701012347</v>
      </c>
      <c r="P62" s="61">
        <f t="shared" si="4"/>
        <v>46.826171298987646</v>
      </c>
      <c r="R62" s="63" t="s">
        <v>264</v>
      </c>
      <c r="S62" s="144">
        <f>VLOOKUP($P$8,BD_Demografía!$A$4:$BX$37,33,FALSE)*(-1)</f>
        <v>-1938227</v>
      </c>
      <c r="T62" s="66">
        <f>(VLOOKUP($P$8,BD_Demografía!$A$4:$BX$37,52,FALSE))</f>
        <v>1706850</v>
      </c>
      <c r="U62" s="66">
        <f t="shared" si="5"/>
        <v>3645077</v>
      </c>
    </row>
    <row r="63" spans="2:21" x14ac:dyDescent="0.2">
      <c r="B63" s="63" t="s">
        <v>265</v>
      </c>
      <c r="C63" s="61">
        <f t="shared" si="0"/>
        <v>53.951379660751975</v>
      </c>
      <c r="D63" s="61">
        <f t="shared" si="1"/>
        <v>46.048620339248025</v>
      </c>
      <c r="F63" s="63" t="s">
        <v>265</v>
      </c>
      <c r="G63" s="144">
        <f>VLOOKUP($D$8,BD_Demografía!$A$4:$BX$37,34,FALSE)*(-1)</f>
        <v>-13804</v>
      </c>
      <c r="H63" s="145">
        <f>(VLOOKUP($D$8,BD_Demografía!$A$4:$BX$37,53,FALSE))</f>
        <v>11782</v>
      </c>
      <c r="I63" s="66">
        <f t="shared" si="2"/>
        <v>25586</v>
      </c>
      <c r="L63" s="78"/>
      <c r="N63" s="63" t="s">
        <v>265</v>
      </c>
      <c r="O63" s="61">
        <f t="shared" si="3"/>
        <v>53.406362613037992</v>
      </c>
      <c r="P63" s="61">
        <f t="shared" si="4"/>
        <v>46.593637386962008</v>
      </c>
      <c r="R63" s="63" t="s">
        <v>265</v>
      </c>
      <c r="S63" s="144">
        <f>VLOOKUP($P$8,BD_Demografía!$A$4:$BX$37,34,FALSE)*(-1)</f>
        <v>-1413848</v>
      </c>
      <c r="T63" s="66">
        <f>(VLOOKUP($P$8,BD_Demografía!$A$4:$BX$37,53,FALSE))</f>
        <v>1233492</v>
      </c>
      <c r="U63" s="66">
        <f t="shared" si="5"/>
        <v>2647340</v>
      </c>
    </row>
    <row r="64" spans="2:21" x14ac:dyDescent="0.2">
      <c r="B64" s="63" t="s">
        <v>266</v>
      </c>
      <c r="C64" s="61">
        <f t="shared" si="0"/>
        <v>53.326096134129429</v>
      </c>
      <c r="D64" s="61">
        <f t="shared" si="1"/>
        <v>46.673903865870578</v>
      </c>
      <c r="F64" s="63" t="s">
        <v>266</v>
      </c>
      <c r="G64" s="144">
        <f>VLOOKUP($D$8,BD_Demografía!$A$4:$BX$37,35,FALSE)*(-1)</f>
        <v>-8842</v>
      </c>
      <c r="H64" s="145">
        <f>(VLOOKUP($D$8,BD_Demografía!$A$4:$BX$37,54,FALSE))</f>
        <v>7739</v>
      </c>
      <c r="I64" s="66">
        <f t="shared" si="2"/>
        <v>16581</v>
      </c>
      <c r="L64" s="78"/>
      <c r="N64" s="63" t="s">
        <v>266</v>
      </c>
      <c r="O64" s="61">
        <f t="shared" si="3"/>
        <v>53.2730954015856</v>
      </c>
      <c r="P64" s="61">
        <f t="shared" si="4"/>
        <v>46.7269045984144</v>
      </c>
      <c r="R64" s="63" t="s">
        <v>266</v>
      </c>
      <c r="S64" s="144">
        <f>VLOOKUP($P$8,BD_Demografía!$A$4:$BX$37,35,FALSE)*(-1)</f>
        <v>-966684</v>
      </c>
      <c r="T64" s="66">
        <f>(VLOOKUP($P$8,BD_Demografía!$A$4:$BX$37,54,FALSE))</f>
        <v>847898</v>
      </c>
      <c r="U64" s="66">
        <f t="shared" si="5"/>
        <v>1814582</v>
      </c>
    </row>
    <row r="65" spans="1:22" x14ac:dyDescent="0.2">
      <c r="B65" s="63" t="s">
        <v>267</v>
      </c>
      <c r="C65" s="61">
        <f t="shared" si="0"/>
        <v>56.832907912821518</v>
      </c>
      <c r="D65" s="61">
        <f t="shared" si="1"/>
        <v>43.167092087178482</v>
      </c>
      <c r="F65" s="63" t="s">
        <v>267</v>
      </c>
      <c r="G65" s="144">
        <f>VLOOKUP($D$8,BD_Demografía!$A$4:$BX$37,36,FALSE)*(-1)</f>
        <v>-5789</v>
      </c>
      <c r="H65" s="145">
        <f>(VLOOKUP($D$8,BD_Demografía!$A$4:$BX$37,55,FALSE))</f>
        <v>4397</v>
      </c>
      <c r="I65" s="66">
        <f t="shared" si="2"/>
        <v>10186</v>
      </c>
      <c r="L65" s="78"/>
      <c r="N65" s="63" t="s">
        <v>267</v>
      </c>
      <c r="O65" s="61">
        <f t="shared" si="3"/>
        <v>55.434061278038129</v>
      </c>
      <c r="P65" s="61">
        <f t="shared" si="4"/>
        <v>44.565938721961878</v>
      </c>
      <c r="R65" s="63" t="s">
        <v>267</v>
      </c>
      <c r="S65" s="144">
        <f>VLOOKUP($P$8,BD_Demografía!$A$4:$BX$37,36,FALSE)*(-1)</f>
        <v>-651552</v>
      </c>
      <c r="T65" s="66">
        <f>(VLOOKUP($P$8,BD_Demografía!$A$4:$BX$37,55,FALSE))</f>
        <v>523812</v>
      </c>
      <c r="U65" s="66">
        <f t="shared" si="5"/>
        <v>1175364</v>
      </c>
    </row>
    <row r="66" spans="1:22" x14ac:dyDescent="0.2">
      <c r="B66" s="63" t="s">
        <v>268</v>
      </c>
      <c r="C66" s="61">
        <f t="shared" si="0"/>
        <v>59.275916348099841</v>
      </c>
      <c r="D66" s="61">
        <f t="shared" si="1"/>
        <v>40.724083651900159</v>
      </c>
      <c r="F66" s="63" t="s">
        <v>268</v>
      </c>
      <c r="G66" s="144">
        <f>VLOOKUP($D$8,BD_Demografía!$A$4:$BX$37,37,FALSE)*(-1)</f>
        <v>-5272</v>
      </c>
      <c r="H66" s="145">
        <f>(VLOOKUP($D$8,BD_Demografía!$A$4:$BX$37,56,FALSE))</f>
        <v>3622</v>
      </c>
      <c r="I66" s="66">
        <f t="shared" si="2"/>
        <v>8894</v>
      </c>
      <c r="L66" s="78"/>
      <c r="N66" s="63" t="s">
        <v>268</v>
      </c>
      <c r="O66" s="61">
        <f t="shared" si="3"/>
        <v>58.254284782564781</v>
      </c>
      <c r="P66" s="61">
        <f t="shared" si="4"/>
        <v>41.745715217435219</v>
      </c>
      <c r="R66" s="63" t="s">
        <v>268</v>
      </c>
      <c r="S66" s="144">
        <f>VLOOKUP($P$8,BD_Demografía!$A$4:$BX$37,37,FALSE)*(-1)</f>
        <v>-605583</v>
      </c>
      <c r="T66" s="66">
        <f>(VLOOKUP($P$8,BD_Demografía!$A$4:$BX$37,56,FALSE))</f>
        <v>433968</v>
      </c>
      <c r="U66" s="66">
        <f t="shared" si="5"/>
        <v>1039551</v>
      </c>
    </row>
    <row r="67" spans="1:22" x14ac:dyDescent="0.2">
      <c r="B67" s="63" t="s">
        <v>202</v>
      </c>
      <c r="C67" s="61">
        <f t="shared" si="0"/>
        <v>50.331564986737398</v>
      </c>
      <c r="D67" s="61">
        <f t="shared" si="1"/>
        <v>49.668435013262602</v>
      </c>
      <c r="F67" s="63" t="s">
        <v>202</v>
      </c>
      <c r="G67" s="144">
        <f>VLOOKUP($D$8,BD_Demografía!$A$4:$BX$37,38,FALSE)*(-1)</f>
        <v>-759</v>
      </c>
      <c r="H67" s="145">
        <f>(VLOOKUP($D$8,BD_Demografía!$A$4:$BX$37,57,FALSE))</f>
        <v>749</v>
      </c>
      <c r="I67" s="66">
        <f t="shared" si="2"/>
        <v>1508</v>
      </c>
      <c r="L67" s="78"/>
      <c r="N67" s="63" t="s">
        <v>202</v>
      </c>
      <c r="O67" s="61">
        <f t="shared" si="3"/>
        <v>50.182525806003234</v>
      </c>
      <c r="P67" s="61">
        <f t="shared" si="4"/>
        <v>49.817474193996766</v>
      </c>
      <c r="R67" s="63" t="s">
        <v>202</v>
      </c>
      <c r="S67" s="144">
        <f>VLOOKUP($P$8,BD_Demografía!$A$4:$BX$37,38,FALSE)*(-1)</f>
        <v>-137192</v>
      </c>
      <c r="T67" s="66">
        <f>(VLOOKUP($P$8,BD_Demografía!$A$4:$BX$37,57,FALSE))</f>
        <v>136194</v>
      </c>
      <c r="U67" s="66">
        <f t="shared" si="5"/>
        <v>273386</v>
      </c>
    </row>
    <row r="68" spans="1:22" ht="10.8" thickBot="1" x14ac:dyDescent="0.25">
      <c r="B68" s="83"/>
      <c r="C68" s="83"/>
      <c r="D68" s="83"/>
      <c r="L68" s="78"/>
      <c r="N68" s="83"/>
      <c r="O68" s="83"/>
      <c r="P68" s="83"/>
    </row>
    <row r="69" spans="1:22" x14ac:dyDescent="0.2">
      <c r="L69" s="78"/>
    </row>
    <row r="70" spans="1:22" ht="21.6" customHeight="1" x14ac:dyDescent="0.2">
      <c r="A70" s="136"/>
      <c r="B70" s="162" t="s">
        <v>386</v>
      </c>
      <c r="C70" s="162"/>
      <c r="D70" s="162"/>
      <c r="E70" s="162"/>
      <c r="F70" s="162"/>
      <c r="G70" s="162"/>
      <c r="H70" s="162"/>
      <c r="I70" s="162"/>
      <c r="J70" s="162"/>
      <c r="L70" s="78"/>
      <c r="M70" s="136"/>
      <c r="N70" s="162" t="s">
        <v>386</v>
      </c>
      <c r="O70" s="162"/>
      <c r="P70" s="162"/>
      <c r="Q70" s="162"/>
      <c r="R70" s="162"/>
      <c r="S70" s="162"/>
      <c r="T70" s="162"/>
      <c r="U70" s="162"/>
      <c r="V70" s="162"/>
    </row>
    <row r="71" spans="1:22" x14ac:dyDescent="0.2">
      <c r="L71" s="78"/>
    </row>
    <row r="72" spans="1:22" x14ac:dyDescent="0.2">
      <c r="L72" s="78"/>
    </row>
    <row r="73" spans="1:22" x14ac:dyDescent="0.2">
      <c r="L73" s="78"/>
    </row>
    <row r="74" spans="1:22" x14ac:dyDescent="0.2">
      <c r="L74" s="78"/>
    </row>
    <row r="75" spans="1:22" x14ac:dyDescent="0.2">
      <c r="L75" s="78"/>
    </row>
    <row r="76" spans="1:22" x14ac:dyDescent="0.2">
      <c r="L76" s="78"/>
    </row>
    <row r="77" spans="1:22" x14ac:dyDescent="0.2">
      <c r="L77" s="78"/>
    </row>
    <row r="78" spans="1:22" s="83" customFormat="1" ht="10.8" thickBot="1" x14ac:dyDescent="0.25">
      <c r="B78" s="164"/>
      <c r="C78" s="164"/>
      <c r="L78" s="84"/>
      <c r="N78" s="85"/>
      <c r="O78" s="85"/>
    </row>
    <row r="79" spans="1:22" x14ac:dyDescent="0.2">
      <c r="L79" s="78"/>
    </row>
    <row r="80" spans="1:22" x14ac:dyDescent="0.2">
      <c r="B80" s="68"/>
      <c r="C80" s="68"/>
      <c r="D80" s="93" t="s">
        <v>175</v>
      </c>
      <c r="E80" s="93"/>
      <c r="F80" s="93" t="s">
        <v>174</v>
      </c>
      <c r="L80" s="78"/>
      <c r="N80" s="68"/>
      <c r="O80" s="68"/>
      <c r="P80" s="93" t="s">
        <v>175</v>
      </c>
      <c r="Q80" s="93"/>
      <c r="R80" s="93" t="s">
        <v>174</v>
      </c>
    </row>
    <row r="81" spans="3:21" x14ac:dyDescent="0.2">
      <c r="L81" s="78"/>
    </row>
    <row r="82" spans="3:21" x14ac:dyDescent="0.2">
      <c r="L82" s="78"/>
    </row>
    <row r="83" spans="3:21" ht="21" x14ac:dyDescent="0.2">
      <c r="K83" s="69"/>
      <c r="L83" s="79"/>
      <c r="M83" s="70"/>
    </row>
    <row r="84" spans="3:21" x14ac:dyDescent="0.2">
      <c r="C84" s="76" t="s">
        <v>333</v>
      </c>
      <c r="D84" s="81">
        <f>VLOOKUP($D$8,BD_ListaNominal!$A$4:$CB$37,4,FALSE)</f>
        <v>525189</v>
      </c>
      <c r="F84" s="81">
        <f>VLOOKUP($D$8,BD_ListaNominal!$A$4:$CB$37,5,FALSE)</f>
        <v>492231</v>
      </c>
      <c r="L84" s="78"/>
      <c r="O84" s="76" t="s">
        <v>272</v>
      </c>
      <c r="P84" s="81">
        <f>VLOOKUP($P$8,BD_ListaNominal!$A$4:$CB$37,4,FALSE)</f>
        <v>48464586</v>
      </c>
      <c r="R84" s="81">
        <f>VLOOKUP($P$8,BD_ListaNominal!$A$4:$CB$37,5,FALSE)</f>
        <v>45067547</v>
      </c>
    </row>
    <row r="85" spans="3:21" x14ac:dyDescent="0.2">
      <c r="C85" s="76" t="s">
        <v>334</v>
      </c>
      <c r="D85" s="73">
        <f>D84/$H$86</f>
        <v>0.51619685085805267</v>
      </c>
      <c r="F85" s="73">
        <f>F84/$H$86</f>
        <v>0.48380314914194728</v>
      </c>
      <c r="L85" s="78"/>
      <c r="O85" s="76" t="s">
        <v>337</v>
      </c>
      <c r="P85" s="73">
        <f>P84/$T$86</f>
        <v>0.51815974302649548</v>
      </c>
      <c r="R85" s="73">
        <f>R84/$T$86</f>
        <v>0.48184025697350452</v>
      </c>
    </row>
    <row r="86" spans="3:21" ht="21" x14ac:dyDescent="0.2">
      <c r="C86" s="72"/>
      <c r="D86" s="90"/>
      <c r="E86" s="77"/>
      <c r="F86" s="90"/>
      <c r="H86" s="171">
        <f>SUM(D84+F84)</f>
        <v>1017420</v>
      </c>
      <c r="I86" s="171"/>
      <c r="J86" s="91"/>
      <c r="L86" s="78"/>
      <c r="O86" s="72"/>
      <c r="P86" s="90"/>
      <c r="Q86" s="77"/>
      <c r="R86" s="90"/>
      <c r="T86" s="167">
        <f>SUM(P84+R84)</f>
        <v>93532133</v>
      </c>
      <c r="U86" s="167"/>
    </row>
    <row r="87" spans="3:21" x14ac:dyDescent="0.2">
      <c r="D87" s="93" t="s">
        <v>341</v>
      </c>
      <c r="E87" s="93"/>
      <c r="F87" s="93" t="s">
        <v>54</v>
      </c>
      <c r="L87" s="78"/>
      <c r="P87" s="93" t="s">
        <v>341</v>
      </c>
      <c r="Q87" s="93"/>
      <c r="R87" s="93" t="s">
        <v>54</v>
      </c>
    </row>
    <row r="88" spans="3:21" x14ac:dyDescent="0.2">
      <c r="L88" s="78"/>
    </row>
    <row r="89" spans="3:21" s="118" customFormat="1" x14ac:dyDescent="0.2">
      <c r="J89" s="119"/>
      <c r="L89" s="122"/>
      <c r="T89" s="119"/>
    </row>
    <row r="90" spans="3:21" x14ac:dyDescent="0.2">
      <c r="L90" s="78"/>
    </row>
    <row r="91" spans="3:21" x14ac:dyDescent="0.2">
      <c r="L91" s="78"/>
    </row>
    <row r="92" spans="3:21" x14ac:dyDescent="0.2">
      <c r="L92" s="78"/>
    </row>
    <row r="93" spans="3:21" x14ac:dyDescent="0.2">
      <c r="L93" s="78"/>
    </row>
    <row r="94" spans="3:21" x14ac:dyDescent="0.2">
      <c r="C94" s="76" t="s">
        <v>333</v>
      </c>
      <c r="D94" s="81">
        <f>VLOOKUP($D$8,BD_ListaNominal!$A$4:$CB$37,7,FALSE)</f>
        <v>331558</v>
      </c>
      <c r="F94" s="81">
        <f>VLOOKUP($D$8,BD_ListaNominal!$A$4:$CB$37,6,FALSE)</f>
        <v>685862</v>
      </c>
      <c r="L94" s="78"/>
      <c r="O94" s="76" t="s">
        <v>333</v>
      </c>
      <c r="P94" s="81">
        <f>VLOOKUP($P$8,BD_ListaNominal!$A$4:$CB$37,7,FALSE)</f>
        <v>29112606</v>
      </c>
      <c r="R94" s="81">
        <f>VLOOKUP($P$8,BD_ListaNominal!$A$4:$CB$37,6,FALSE)</f>
        <v>64419527</v>
      </c>
    </row>
    <row r="95" spans="3:21" x14ac:dyDescent="0.2">
      <c r="C95" s="76" t="s">
        <v>337</v>
      </c>
      <c r="D95" s="73">
        <f>D94/$H$86</f>
        <v>0.3258811503607163</v>
      </c>
      <c r="F95" s="73">
        <f>F94/$H$86</f>
        <v>0.6741188496392837</v>
      </c>
      <c r="L95" s="78"/>
      <c r="O95" s="76" t="s">
        <v>337</v>
      </c>
      <c r="P95" s="73">
        <f>P94/$T$86</f>
        <v>0.31125780056785407</v>
      </c>
      <c r="R95" s="73">
        <f>R94/$T$86</f>
        <v>0.68874219943214599</v>
      </c>
    </row>
    <row r="96" spans="3:21" x14ac:dyDescent="0.2">
      <c r="L96" s="78"/>
    </row>
    <row r="97" spans="2:21" x14ac:dyDescent="0.2">
      <c r="L97" s="78"/>
    </row>
    <row r="98" spans="2:21" x14ac:dyDescent="0.2">
      <c r="B98" s="169" t="str">
        <f>CONCATENATE(VLOOKUP($D$8,BD_Demografía!$A$4:$BX$37,2,FALSE),": Lista nominal de electores por edad y sexo 2021")</f>
        <v>Aguascalientes: Lista nominal de electores por edad y sexo 2021</v>
      </c>
      <c r="C98" s="169"/>
      <c r="D98" s="169"/>
      <c r="E98" s="169"/>
      <c r="F98" s="169"/>
      <c r="G98" s="169"/>
      <c r="H98" s="169"/>
      <c r="I98" s="169"/>
      <c r="J98" s="169"/>
      <c r="K98" s="93"/>
      <c r="L98" s="80"/>
      <c r="N98" s="169" t="str">
        <f>CONCATENATE(VLOOKUP($P$8,BD_Demografía!$A$4:$BX$37,2,FALSE),": Lista nominal de electores por edad y sexo 2021")</f>
        <v>Estados Unidos Mexicanos: Lista nominal de electores por edad y sexo 2021</v>
      </c>
      <c r="O98" s="169"/>
      <c r="P98" s="169"/>
      <c r="Q98" s="169"/>
      <c r="R98" s="169"/>
      <c r="S98" s="169"/>
      <c r="T98" s="169"/>
    </row>
    <row r="99" spans="2:21" ht="10.8" thickBot="1" x14ac:dyDescent="0.25">
      <c r="L99" s="78"/>
    </row>
    <row r="100" spans="2:21" ht="10.8" thickBot="1" x14ac:dyDescent="0.25">
      <c r="B100" s="101" t="s">
        <v>276</v>
      </c>
      <c r="C100" s="102" t="s">
        <v>175</v>
      </c>
      <c r="D100" s="102" t="s">
        <v>174</v>
      </c>
      <c r="F100" s="101" t="s">
        <v>276</v>
      </c>
      <c r="G100" s="102" t="s">
        <v>175</v>
      </c>
      <c r="H100" s="102" t="s">
        <v>174</v>
      </c>
      <c r="I100" s="102" t="s">
        <v>36</v>
      </c>
      <c r="L100" s="78"/>
      <c r="N100" s="101" t="s">
        <v>276</v>
      </c>
      <c r="O100" s="102" t="s">
        <v>175</v>
      </c>
      <c r="P100" s="102" t="s">
        <v>174</v>
      </c>
      <c r="R100" s="101" t="s">
        <v>276</v>
      </c>
      <c r="S100" s="102" t="s">
        <v>175</v>
      </c>
      <c r="T100" s="102" t="s">
        <v>174</v>
      </c>
      <c r="U100" s="102" t="s">
        <v>36</v>
      </c>
    </row>
    <row r="101" spans="2:21" x14ac:dyDescent="0.2">
      <c r="L101" s="78"/>
    </row>
    <row r="102" spans="2:21" x14ac:dyDescent="0.2">
      <c r="B102" s="125" t="s">
        <v>36</v>
      </c>
      <c r="C102" s="126">
        <f>(G102*-1)/I102*100</f>
        <v>51.619685085805266</v>
      </c>
      <c r="D102" s="126">
        <f>H102/I102*100</f>
        <v>48.380314914194727</v>
      </c>
      <c r="F102" s="125" t="s">
        <v>36</v>
      </c>
      <c r="G102" s="142">
        <f>VLOOKUP($D$8,BD_ListaNominal!$A$4:$BX$37,26,FALSE)*(-1)</f>
        <v>-525189</v>
      </c>
      <c r="H102" s="66">
        <f>VLOOKUP($D$8,BD_ListaNominal!$A$4:$BX$37,43,FALSE)</f>
        <v>492231</v>
      </c>
      <c r="I102" s="66">
        <f>(G102*-1)+H102</f>
        <v>1017420</v>
      </c>
      <c r="L102" s="78"/>
      <c r="N102" s="125" t="s">
        <v>36</v>
      </c>
      <c r="O102" s="126">
        <f>(S102*-1)/U102*100</f>
        <v>51.815974302649551</v>
      </c>
      <c r="P102" s="126">
        <f>T102/U102*100</f>
        <v>48.184025697350449</v>
      </c>
      <c r="R102" s="125" t="s">
        <v>36</v>
      </c>
      <c r="S102" s="140">
        <f>VLOOKUP($P$8,BD_ListaNominal!$A$4:$BX$37,26,FALSE)*(-1)</f>
        <v>-48464586</v>
      </c>
      <c r="T102" s="66">
        <f>VLOOKUP($P$8,BD_ListaNominal!$A$4:$BX$37,43,FALSE)</f>
        <v>45067547</v>
      </c>
      <c r="U102" s="66">
        <f>(S102*-1)+T102</f>
        <v>93532133</v>
      </c>
    </row>
    <row r="103" spans="2:21" x14ac:dyDescent="0.2">
      <c r="B103" s="100"/>
      <c r="C103" s="61"/>
      <c r="D103" s="61"/>
      <c r="G103" s="143"/>
      <c r="L103" s="78"/>
      <c r="S103" s="141"/>
    </row>
    <row r="104" spans="2:21" x14ac:dyDescent="0.2">
      <c r="B104" s="100">
        <v>18</v>
      </c>
      <c r="C104" s="61">
        <f>(G104*-1)/I104*100</f>
        <v>50.133592421666265</v>
      </c>
      <c r="D104" s="61">
        <f>H104/I104*100</f>
        <v>49.866407578333735</v>
      </c>
      <c r="F104" s="100">
        <v>18</v>
      </c>
      <c r="G104" s="142">
        <f>VLOOKUP($D$8,BD_ListaNominal!$A$4:$BX$37,10,FALSE)*(-1)</f>
        <v>-10320</v>
      </c>
      <c r="H104" s="66">
        <f>VLOOKUP($D$8,BD_ListaNominal!$A$4:$BX$37,27,FALSE)</f>
        <v>10265</v>
      </c>
      <c r="I104" s="66">
        <f>(G104*-1)+H104</f>
        <v>20585</v>
      </c>
      <c r="L104" s="78"/>
      <c r="N104" s="100">
        <v>18</v>
      </c>
      <c r="O104" s="61">
        <f>(S104*-1)/U104*100</f>
        <v>49.838896686860508</v>
      </c>
      <c r="P104" s="61">
        <f>T104/U104*100</f>
        <v>50.161103313139499</v>
      </c>
      <c r="R104" s="100">
        <v>18</v>
      </c>
      <c r="S104" s="140">
        <f>VLOOKUP($P$8,BD_ListaNominal!$A$4:$BX$37,10,FALSE)*(-1)</f>
        <v>-657235</v>
      </c>
      <c r="T104" s="66">
        <f>VLOOKUP($P$8,BD_ListaNominal!$A$4:$BX$37,27,FALSE)</f>
        <v>661484</v>
      </c>
      <c r="U104" s="66">
        <f>(S104*-1)+T104</f>
        <v>1318719</v>
      </c>
    </row>
    <row r="105" spans="2:21" x14ac:dyDescent="0.2">
      <c r="B105" s="100">
        <v>19</v>
      </c>
      <c r="C105" s="61">
        <f t="shared" ref="C105:C119" si="6">(G105*-1)/I105*100</f>
        <v>49.847279157623987</v>
      </c>
      <c r="D105" s="61">
        <f t="shared" ref="D105:D119" si="7">H105/I105*100</f>
        <v>50.15272084237602</v>
      </c>
      <c r="F105" s="100">
        <v>19</v>
      </c>
      <c r="G105" s="142">
        <f>VLOOKUP($D$8,BD_ListaNominal!$A$4:$BX$37,11,FALSE)*(-1)</f>
        <v>-12403</v>
      </c>
      <c r="H105" s="66">
        <f>(VLOOKUP($D$8,BD_ListaNominal!$A$4:$BX$37,28,FALSE))</f>
        <v>12479</v>
      </c>
      <c r="I105" s="66">
        <f t="shared" ref="I105:I119" si="8">(G105*-1)+H105</f>
        <v>24882</v>
      </c>
      <c r="L105" s="78"/>
      <c r="N105" s="100">
        <v>19</v>
      </c>
      <c r="O105" s="61">
        <f t="shared" ref="O105:O119" si="9">(S105*-1)/U105*100</f>
        <v>50.11937710721466</v>
      </c>
      <c r="P105" s="61">
        <f t="shared" ref="P105:P119" si="10">T105/U105*100</f>
        <v>49.88062289278534</v>
      </c>
      <c r="R105" s="100">
        <v>19</v>
      </c>
      <c r="S105" s="140">
        <f>VLOOKUP($P$8,BD_ListaNominal!$A$4:$BX$37,11,FALSE)*(-1)</f>
        <v>-954508</v>
      </c>
      <c r="T105" s="66">
        <f>(VLOOKUP($P$8,BD_ListaNominal!$A$4:$BX$37,28,FALSE))</f>
        <v>949961</v>
      </c>
      <c r="U105" s="66">
        <f t="shared" ref="U105:U119" si="11">(S105*-1)+T105</f>
        <v>1904469</v>
      </c>
    </row>
    <row r="106" spans="2:21" x14ac:dyDescent="0.2">
      <c r="B106" s="100" t="s">
        <v>39</v>
      </c>
      <c r="C106" s="61">
        <f t="shared" si="6"/>
        <v>49.800918368903602</v>
      </c>
      <c r="D106" s="61">
        <f t="shared" si="7"/>
        <v>50.199081631096398</v>
      </c>
      <c r="F106" s="100" t="s">
        <v>39</v>
      </c>
      <c r="G106" s="142">
        <f>VLOOKUP($D$8,BD_ListaNominal!$A$4:$BX$37,12,FALSE)*(-1)</f>
        <v>-65290</v>
      </c>
      <c r="H106" s="66">
        <f>(VLOOKUP($D$8,BD_ListaNominal!$A$4:$BX$37,29,FALSE))</f>
        <v>65812</v>
      </c>
      <c r="I106" s="66">
        <f t="shared" si="8"/>
        <v>131102</v>
      </c>
      <c r="L106" s="78"/>
      <c r="N106" s="100" t="s">
        <v>39</v>
      </c>
      <c r="O106" s="61">
        <f t="shared" si="9"/>
        <v>50.037359156793116</v>
      </c>
      <c r="P106" s="61">
        <f t="shared" si="10"/>
        <v>49.962640843206891</v>
      </c>
      <c r="R106" s="100" t="s">
        <v>39</v>
      </c>
      <c r="S106" s="140">
        <f>VLOOKUP($P$8,BD_ListaNominal!$A$4:$BX$37,12,FALSE)*(-1)</f>
        <v>-5530887</v>
      </c>
      <c r="T106" s="66">
        <f>(VLOOKUP($P$8,BD_ListaNominal!$A$4:$BX$37,29,FALSE))</f>
        <v>5522628</v>
      </c>
      <c r="U106" s="66">
        <f t="shared" si="11"/>
        <v>11053515</v>
      </c>
    </row>
    <row r="107" spans="2:21" x14ac:dyDescent="0.2">
      <c r="B107" s="100" t="s">
        <v>40</v>
      </c>
      <c r="C107" s="61">
        <f t="shared" si="6"/>
        <v>49.802904959780413</v>
      </c>
      <c r="D107" s="61">
        <f t="shared" si="7"/>
        <v>50.197095040219587</v>
      </c>
      <c r="F107" s="100" t="s">
        <v>40</v>
      </c>
      <c r="G107" s="142">
        <f>VLOOKUP($D$8,BD_ListaNominal!$A$4:$BX$37,13,FALSE)*(-1)</f>
        <v>-65319</v>
      </c>
      <c r="H107" s="66">
        <f>(VLOOKUP($D$8,BD_ListaNominal!$A$4:$BX$37,30,FALSE))</f>
        <v>65836</v>
      </c>
      <c r="I107" s="66">
        <f t="shared" si="8"/>
        <v>131155</v>
      </c>
      <c r="L107" s="78"/>
      <c r="N107" s="100" t="s">
        <v>40</v>
      </c>
      <c r="O107" s="61">
        <f t="shared" si="9"/>
        <v>50.133510029562842</v>
      </c>
      <c r="P107" s="61">
        <f t="shared" si="10"/>
        <v>49.866489970437158</v>
      </c>
      <c r="R107" s="100" t="s">
        <v>40</v>
      </c>
      <c r="S107" s="140">
        <f>VLOOKUP($P$8,BD_ListaNominal!$A$4:$BX$37,13,FALSE)*(-1)</f>
        <v>-5709346</v>
      </c>
      <c r="T107" s="66">
        <f>(VLOOKUP($P$8,BD_ListaNominal!$A$4:$BX$37,30,FALSE))</f>
        <v>5678937</v>
      </c>
      <c r="U107" s="66">
        <f t="shared" si="11"/>
        <v>11388283</v>
      </c>
    </row>
    <row r="108" spans="2:21" x14ac:dyDescent="0.2">
      <c r="B108" s="100" t="s">
        <v>41</v>
      </c>
      <c r="C108" s="61">
        <f t="shared" si="6"/>
        <v>50.545811677588695</v>
      </c>
      <c r="D108" s="61">
        <f t="shared" si="7"/>
        <v>49.454188322411305</v>
      </c>
      <c r="F108" s="100" t="s">
        <v>41</v>
      </c>
      <c r="G108" s="142">
        <f>VLOOKUP($D$8,BD_ListaNominal!$A$4:$BX$37,14,FALSE)*(-1)</f>
        <v>-58157</v>
      </c>
      <c r="H108" s="66">
        <f>(VLOOKUP($D$8,BD_ListaNominal!$A$4:$BX$37,31,FALSE))</f>
        <v>56901</v>
      </c>
      <c r="I108" s="66">
        <f t="shared" si="8"/>
        <v>115058</v>
      </c>
      <c r="L108" s="78"/>
      <c r="N108" s="100" t="s">
        <v>41</v>
      </c>
      <c r="O108" s="61">
        <f t="shared" si="9"/>
        <v>50.94619292806486</v>
      </c>
      <c r="P108" s="61">
        <f t="shared" si="10"/>
        <v>49.053807071935147</v>
      </c>
      <c r="R108" s="100" t="s">
        <v>41</v>
      </c>
      <c r="S108" s="140">
        <f>VLOOKUP($P$8,BD_ListaNominal!$A$4:$BX$37,14,FALSE)*(-1)</f>
        <v>-5252203</v>
      </c>
      <c r="T108" s="66">
        <f>(VLOOKUP($P$8,BD_ListaNominal!$A$4:$BX$37,31,FALSE))</f>
        <v>5057111</v>
      </c>
      <c r="U108" s="66">
        <f t="shared" si="11"/>
        <v>10309314</v>
      </c>
    </row>
    <row r="109" spans="2:21" x14ac:dyDescent="0.2">
      <c r="B109" s="100" t="s">
        <v>42</v>
      </c>
      <c r="C109" s="61">
        <f t="shared" si="6"/>
        <v>51.032980887704518</v>
      </c>
      <c r="D109" s="61">
        <f t="shared" si="7"/>
        <v>48.967019112295482</v>
      </c>
      <c r="F109" s="100" t="s">
        <v>42</v>
      </c>
      <c r="G109" s="142">
        <f>VLOOKUP($D$8,BD_ListaNominal!$A$4:$BX$37,15,FALSE)*(-1)</f>
        <v>-53430</v>
      </c>
      <c r="H109" s="66">
        <f>(VLOOKUP($D$8,BD_ListaNominal!$A$4:$BX$37,32,FALSE))</f>
        <v>51267</v>
      </c>
      <c r="I109" s="66">
        <f t="shared" si="8"/>
        <v>104697</v>
      </c>
      <c r="L109" s="78"/>
      <c r="N109" s="100" t="s">
        <v>42</v>
      </c>
      <c r="O109" s="61">
        <f t="shared" si="9"/>
        <v>51.488698302778211</v>
      </c>
      <c r="P109" s="61">
        <f t="shared" si="10"/>
        <v>48.511301697221789</v>
      </c>
      <c r="R109" s="100" t="s">
        <v>42</v>
      </c>
      <c r="S109" s="140">
        <f>VLOOKUP($P$8,BD_ListaNominal!$A$4:$BX$37,15,FALSE)*(-1)</f>
        <v>-4914086</v>
      </c>
      <c r="T109" s="66">
        <f>(VLOOKUP($P$8,BD_ListaNominal!$A$4:$BX$37,32,FALSE))</f>
        <v>4629923</v>
      </c>
      <c r="U109" s="66">
        <f t="shared" si="11"/>
        <v>9544009</v>
      </c>
    </row>
    <row r="110" spans="2:21" x14ac:dyDescent="0.2">
      <c r="B110" s="100" t="s">
        <v>43</v>
      </c>
      <c r="C110" s="61">
        <f t="shared" si="6"/>
        <v>51.87096774193548</v>
      </c>
      <c r="D110" s="61">
        <f t="shared" si="7"/>
        <v>48.129032258064512</v>
      </c>
      <c r="F110" s="100" t="s">
        <v>43</v>
      </c>
      <c r="G110" s="142">
        <f>VLOOKUP($D$8,BD_ListaNominal!$A$4:$BX$37,16,FALSE)*(-1)</f>
        <v>-49848</v>
      </c>
      <c r="H110" s="66">
        <f>(VLOOKUP($D$8,BD_ListaNominal!$A$4:$BX$37,33,FALSE))</f>
        <v>46252</v>
      </c>
      <c r="I110" s="66">
        <f t="shared" si="8"/>
        <v>96100</v>
      </c>
      <c r="L110" s="78"/>
      <c r="N110" s="100" t="s">
        <v>43</v>
      </c>
      <c r="O110" s="61">
        <f t="shared" si="9"/>
        <v>51.881129265275881</v>
      </c>
      <c r="P110" s="61">
        <f t="shared" si="10"/>
        <v>48.118870734724112</v>
      </c>
      <c r="R110" s="100" t="s">
        <v>43</v>
      </c>
      <c r="S110" s="140">
        <f>VLOOKUP($P$8,BD_ListaNominal!$A$4:$BX$37,16,FALSE)*(-1)</f>
        <v>-4643304</v>
      </c>
      <c r="T110" s="66">
        <f>(VLOOKUP($P$8,BD_ListaNominal!$A$4:$BX$37,33,FALSE))</f>
        <v>4306586</v>
      </c>
      <c r="U110" s="66">
        <f t="shared" si="11"/>
        <v>8949890</v>
      </c>
    </row>
    <row r="111" spans="2:21" x14ac:dyDescent="0.2">
      <c r="B111" s="100" t="s">
        <v>44</v>
      </c>
      <c r="C111" s="61">
        <f t="shared" si="6"/>
        <v>52.206161420097807</v>
      </c>
      <c r="D111" s="61">
        <f t="shared" si="7"/>
        <v>47.793838579902186</v>
      </c>
      <c r="F111" s="100" t="s">
        <v>44</v>
      </c>
      <c r="G111" s="142">
        <f>VLOOKUP($D$8,BD_ListaNominal!$A$4:$BX$37,17,FALSE)*(-1)</f>
        <v>-48144</v>
      </c>
      <c r="H111" s="66">
        <f>(VLOOKUP($D$8,BD_ListaNominal!$A$4:$BX$37,34,FALSE))</f>
        <v>44075</v>
      </c>
      <c r="I111" s="66">
        <f t="shared" si="8"/>
        <v>92219</v>
      </c>
      <c r="L111" s="78"/>
      <c r="N111" s="100" t="s">
        <v>44</v>
      </c>
      <c r="O111" s="61">
        <f t="shared" si="9"/>
        <v>52.074083277583526</v>
      </c>
      <c r="P111" s="61">
        <f t="shared" si="10"/>
        <v>47.925916722416481</v>
      </c>
      <c r="R111" s="100" t="s">
        <v>44</v>
      </c>
      <c r="S111" s="140">
        <f>VLOOKUP($P$8,BD_ListaNominal!$A$4:$BX$37,17,FALSE)*(-1)</f>
        <v>-4513881</v>
      </c>
      <c r="T111" s="66">
        <f>(VLOOKUP($P$8,BD_ListaNominal!$A$4:$BX$37,34,FALSE))</f>
        <v>4154310</v>
      </c>
      <c r="U111" s="66">
        <f t="shared" si="11"/>
        <v>8668191</v>
      </c>
    </row>
    <row r="112" spans="2:21" x14ac:dyDescent="0.2">
      <c r="B112" s="100" t="s">
        <v>45</v>
      </c>
      <c r="C112" s="61">
        <f t="shared" si="6"/>
        <v>52.963010531723612</v>
      </c>
      <c r="D112" s="61">
        <f t="shared" si="7"/>
        <v>47.036989468276388</v>
      </c>
      <c r="F112" s="100" t="s">
        <v>45</v>
      </c>
      <c r="G112" s="142">
        <f>VLOOKUP($D$8,BD_ListaNominal!$A$4:$BX$37,18,FALSE)*(-1)</f>
        <v>-41237</v>
      </c>
      <c r="H112" s="66">
        <f>(VLOOKUP($D$8,BD_ListaNominal!$A$4:$BX$37,35,FALSE))</f>
        <v>36623</v>
      </c>
      <c r="I112" s="66">
        <f t="shared" si="8"/>
        <v>77860</v>
      </c>
      <c r="L112" s="78"/>
      <c r="N112" s="100" t="s">
        <v>45</v>
      </c>
      <c r="O112" s="61">
        <f t="shared" si="9"/>
        <v>52.559944644313049</v>
      </c>
      <c r="P112" s="61">
        <f t="shared" si="10"/>
        <v>47.440055355686958</v>
      </c>
      <c r="R112" s="100" t="s">
        <v>45</v>
      </c>
      <c r="S112" s="140">
        <f>VLOOKUP($P$8,BD_ListaNominal!$A$4:$BX$37,18,FALSE)*(-1)</f>
        <v>-3902804</v>
      </c>
      <c r="T112" s="66">
        <f>(VLOOKUP($P$8,BD_ListaNominal!$A$4:$BX$37,35,FALSE))</f>
        <v>3522630</v>
      </c>
      <c r="U112" s="66">
        <f t="shared" si="11"/>
        <v>7425434</v>
      </c>
    </row>
    <row r="113" spans="1:22" x14ac:dyDescent="0.2">
      <c r="B113" s="100" t="s">
        <v>46</v>
      </c>
      <c r="C113" s="61">
        <f t="shared" si="6"/>
        <v>53.209116060101195</v>
      </c>
      <c r="D113" s="61">
        <f t="shared" si="7"/>
        <v>46.790883939898812</v>
      </c>
      <c r="F113" s="100" t="s">
        <v>46</v>
      </c>
      <c r="G113" s="142">
        <f>VLOOKUP($D$8,BD_ListaNominal!$A$4:$BX$37,19,FALSE)*(-1)</f>
        <v>-34811</v>
      </c>
      <c r="H113" s="66">
        <f>(VLOOKUP($D$8,BD_ListaNominal!$A$4:$BX$37,36,FALSE))</f>
        <v>30612</v>
      </c>
      <c r="I113" s="66">
        <f t="shared" si="8"/>
        <v>65423</v>
      </c>
      <c r="L113" s="78"/>
      <c r="N113" s="100" t="s">
        <v>46</v>
      </c>
      <c r="O113" s="61">
        <f t="shared" si="9"/>
        <v>53.078101227032207</v>
      </c>
      <c r="P113" s="61">
        <f t="shared" si="10"/>
        <v>46.921898772967793</v>
      </c>
      <c r="R113" s="100" t="s">
        <v>46</v>
      </c>
      <c r="S113" s="140">
        <f>VLOOKUP($P$8,BD_ListaNominal!$A$4:$BX$37,19,FALSE)*(-1)</f>
        <v>-3354993</v>
      </c>
      <c r="T113" s="66">
        <f>(VLOOKUP($P$8,BD_ListaNominal!$A$4:$BX$37,36,FALSE))</f>
        <v>2965868</v>
      </c>
      <c r="U113" s="66">
        <f t="shared" si="11"/>
        <v>6320861</v>
      </c>
    </row>
    <row r="114" spans="1:22" x14ac:dyDescent="0.2">
      <c r="B114" s="100" t="s">
        <v>47</v>
      </c>
      <c r="C114" s="61">
        <f t="shared" si="6"/>
        <v>53.439143321541259</v>
      </c>
      <c r="D114" s="61">
        <f t="shared" si="7"/>
        <v>46.560856678458748</v>
      </c>
      <c r="F114" s="100" t="s">
        <v>47</v>
      </c>
      <c r="G114" s="142">
        <f>VLOOKUP($D$8,BD_ListaNominal!$A$4:$BX$37,20,FALSE)*(-1)</f>
        <v>-27946</v>
      </c>
      <c r="H114" s="66">
        <f>(VLOOKUP($D$8,BD_ListaNominal!$A$4:$BX$37,37,FALSE))</f>
        <v>24349</v>
      </c>
      <c r="I114" s="66">
        <f t="shared" si="8"/>
        <v>52295</v>
      </c>
      <c r="L114" s="78"/>
      <c r="N114" s="100" t="s">
        <v>47</v>
      </c>
      <c r="O114" s="61">
        <f t="shared" si="9"/>
        <v>53.367822418614821</v>
      </c>
      <c r="P114" s="61">
        <f t="shared" si="10"/>
        <v>46.632177581385179</v>
      </c>
      <c r="R114" s="100" t="s">
        <v>47</v>
      </c>
      <c r="S114" s="140">
        <f>VLOOKUP($P$8,BD_ListaNominal!$A$4:$BX$37,20,FALSE)*(-1)</f>
        <v>-2758468</v>
      </c>
      <c r="T114" s="66">
        <f>(VLOOKUP($P$8,BD_ListaNominal!$A$4:$BX$37,37,FALSE))</f>
        <v>2410317</v>
      </c>
      <c r="U114" s="66">
        <f t="shared" si="11"/>
        <v>5168785</v>
      </c>
    </row>
    <row r="115" spans="1:22" x14ac:dyDescent="0.2">
      <c r="B115" s="100" t="s">
        <v>48</v>
      </c>
      <c r="C115" s="61">
        <f t="shared" si="6"/>
        <v>53.657598523114792</v>
      </c>
      <c r="D115" s="61">
        <f t="shared" si="7"/>
        <v>46.342401476885208</v>
      </c>
      <c r="F115" s="100" t="s">
        <v>48</v>
      </c>
      <c r="G115" s="142">
        <f>VLOOKUP($D$8,BD_ListaNominal!$A$4:$BX$37,21,FALSE)*(-1)</f>
        <v>-20927</v>
      </c>
      <c r="H115" s="66">
        <f>(VLOOKUP($D$8,BD_ListaNominal!$A$4:$BX$37,38,FALSE))</f>
        <v>18074</v>
      </c>
      <c r="I115" s="66">
        <f t="shared" si="8"/>
        <v>39001</v>
      </c>
      <c r="L115" s="78"/>
      <c r="N115" s="100" t="s">
        <v>48</v>
      </c>
      <c r="O115" s="61">
        <f t="shared" si="9"/>
        <v>53.453289029841812</v>
      </c>
      <c r="P115" s="61">
        <f t="shared" si="10"/>
        <v>46.546710970158195</v>
      </c>
      <c r="R115" s="100" t="s">
        <v>48</v>
      </c>
      <c r="S115" s="140">
        <f>VLOOKUP($P$8,BD_ListaNominal!$A$4:$BX$37,21,FALSE)*(-1)</f>
        <v>-2119463</v>
      </c>
      <c r="T115" s="66">
        <f>(VLOOKUP($P$8,BD_ListaNominal!$A$4:$BX$37,38,FALSE))</f>
        <v>1845612</v>
      </c>
      <c r="U115" s="66">
        <f t="shared" si="11"/>
        <v>3965075</v>
      </c>
    </row>
    <row r="116" spans="1:22" x14ac:dyDescent="0.2">
      <c r="B116" s="100" t="s">
        <v>49</v>
      </c>
      <c r="C116" s="61">
        <f t="shared" si="6"/>
        <v>54.014389519275511</v>
      </c>
      <c r="D116" s="61">
        <f t="shared" si="7"/>
        <v>45.985610480724489</v>
      </c>
      <c r="F116" s="100" t="s">
        <v>49</v>
      </c>
      <c r="G116" s="142">
        <f>VLOOKUP($D$8,BD_ListaNominal!$A$4:$BX$37,22,FALSE)*(-1)</f>
        <v>-15090</v>
      </c>
      <c r="H116" s="66">
        <f>(VLOOKUP($D$8,BD_ListaNominal!$A$4:$BX$37,39,FALSE))</f>
        <v>12847</v>
      </c>
      <c r="I116" s="66">
        <f t="shared" si="8"/>
        <v>27937</v>
      </c>
      <c r="L116" s="78"/>
      <c r="N116" s="100" t="s">
        <v>49</v>
      </c>
      <c r="O116" s="61">
        <f t="shared" si="9"/>
        <v>53.785986651842201</v>
      </c>
      <c r="P116" s="61">
        <f t="shared" si="10"/>
        <v>46.214013348157792</v>
      </c>
      <c r="R116" s="100" t="s">
        <v>49</v>
      </c>
      <c r="S116" s="140">
        <f>VLOOKUP($P$8,BD_ListaNominal!$A$4:$BX$37,22,FALSE)*(-1)</f>
        <v>-1576570</v>
      </c>
      <c r="T116" s="66">
        <f>(VLOOKUP($P$8,BD_ListaNominal!$A$4:$BX$37,39,FALSE))</f>
        <v>1354621</v>
      </c>
      <c r="U116" s="66">
        <f t="shared" si="11"/>
        <v>2931191</v>
      </c>
    </row>
    <row r="117" spans="1:22" x14ac:dyDescent="0.2">
      <c r="B117" s="100" t="s">
        <v>50</v>
      </c>
      <c r="C117" s="61">
        <f t="shared" si="6"/>
        <v>54.660925726587728</v>
      </c>
      <c r="D117" s="61">
        <f t="shared" si="7"/>
        <v>45.339074273412272</v>
      </c>
      <c r="F117" s="100" t="s">
        <v>50</v>
      </c>
      <c r="G117" s="142">
        <f>VLOOKUP($D$8,BD_ListaNominal!$A$4:$BX$37,23,FALSE)*(-1)</f>
        <v>-10156</v>
      </c>
      <c r="H117" s="66">
        <f>(VLOOKUP($D$8,BD_ListaNominal!$A$4:$BX$37,40,FALSE))</f>
        <v>8424</v>
      </c>
      <c r="I117" s="66">
        <f t="shared" si="8"/>
        <v>18580</v>
      </c>
      <c r="L117" s="78"/>
      <c r="N117" s="100" t="s">
        <v>50</v>
      </c>
      <c r="O117" s="61">
        <f t="shared" si="9"/>
        <v>54.608924026775526</v>
      </c>
      <c r="P117" s="61">
        <f t="shared" si="10"/>
        <v>45.391075973224474</v>
      </c>
      <c r="R117" s="100" t="s">
        <v>50</v>
      </c>
      <c r="S117" s="140">
        <f>VLOOKUP($P$8,BD_ListaNominal!$A$4:$BX$37,23,FALSE)*(-1)</f>
        <v>-1108269</v>
      </c>
      <c r="T117" s="66">
        <f>(VLOOKUP($P$8,BD_ListaNominal!$A$4:$BX$37,40,FALSE))</f>
        <v>921196</v>
      </c>
      <c r="U117" s="66">
        <f t="shared" si="11"/>
        <v>2029465</v>
      </c>
    </row>
    <row r="118" spans="1:22" x14ac:dyDescent="0.2">
      <c r="B118" s="100" t="s">
        <v>51</v>
      </c>
      <c r="C118" s="61">
        <f t="shared" si="6"/>
        <v>57.578002036848439</v>
      </c>
      <c r="D118" s="61">
        <f t="shared" si="7"/>
        <v>42.421997963151561</v>
      </c>
      <c r="F118" s="100" t="s">
        <v>51</v>
      </c>
      <c r="G118" s="142">
        <f>VLOOKUP($D$8,BD_ListaNominal!$A$4:$BX$37,24,FALSE)*(-1)</f>
        <v>-6219</v>
      </c>
      <c r="H118" s="66">
        <f>(VLOOKUP($D$8,BD_ListaNominal!$A$4:$BX$37,41,FALSE))</f>
        <v>4582</v>
      </c>
      <c r="I118" s="66">
        <f t="shared" si="8"/>
        <v>10801</v>
      </c>
      <c r="L118" s="78"/>
      <c r="N118" s="100" t="s">
        <v>51</v>
      </c>
      <c r="O118" s="61">
        <f t="shared" si="9"/>
        <v>56.005662075026244</v>
      </c>
      <c r="P118" s="61">
        <f t="shared" si="10"/>
        <v>43.994337924973763</v>
      </c>
      <c r="R118" s="100" t="s">
        <v>51</v>
      </c>
      <c r="S118" s="140">
        <f>VLOOKUP($P$8,BD_ListaNominal!$A$4:$BX$37,24,FALSE)*(-1)</f>
        <v>-748183</v>
      </c>
      <c r="T118" s="66">
        <f>(VLOOKUP($P$8,BD_ListaNominal!$A$4:$BX$37,41,FALSE))</f>
        <v>587723</v>
      </c>
      <c r="U118" s="66">
        <f t="shared" si="11"/>
        <v>1335906</v>
      </c>
    </row>
    <row r="119" spans="1:22" x14ac:dyDescent="0.2">
      <c r="B119" s="100" t="s">
        <v>52</v>
      </c>
      <c r="C119" s="61">
        <f t="shared" si="6"/>
        <v>60.586118251928021</v>
      </c>
      <c r="D119" s="61">
        <f t="shared" si="7"/>
        <v>39.413881748071979</v>
      </c>
      <c r="F119" s="100" t="s">
        <v>52</v>
      </c>
      <c r="G119" s="142">
        <f>VLOOKUP($D$8,BD_ListaNominal!$A$4:$BX$37,25,FALSE)*(-1)</f>
        <v>-5892</v>
      </c>
      <c r="H119" s="66">
        <f>(VLOOKUP($D$8,BD_ListaNominal!$A$4:$BX$37,42,FALSE))</f>
        <v>3833</v>
      </c>
      <c r="I119" s="66">
        <f t="shared" si="8"/>
        <v>9725</v>
      </c>
      <c r="L119" s="78"/>
      <c r="N119" s="100" t="s">
        <v>52</v>
      </c>
      <c r="O119" s="61">
        <f t="shared" si="9"/>
        <v>59.095212079151715</v>
      </c>
      <c r="P119" s="61">
        <f t="shared" si="10"/>
        <v>40.904787920848285</v>
      </c>
      <c r="R119" s="100" t="s">
        <v>52</v>
      </c>
      <c r="S119" s="140">
        <f>VLOOKUP($P$8,BD_ListaNominal!$A$4:$BX$37,25,FALSE)*(-1)</f>
        <v>-720386</v>
      </c>
      <c r="T119" s="66">
        <f>(VLOOKUP($P$8,BD_ListaNominal!$A$4:$BX$37,42,FALSE))</f>
        <v>498640</v>
      </c>
      <c r="U119" s="66">
        <f t="shared" si="11"/>
        <v>1219026</v>
      </c>
    </row>
    <row r="120" spans="1:22" ht="10.8" thickBot="1" x14ac:dyDescent="0.25">
      <c r="B120" s="83"/>
      <c r="C120" s="83"/>
      <c r="D120" s="83"/>
      <c r="F120" s="83"/>
      <c r="G120" s="83"/>
      <c r="H120" s="83"/>
      <c r="L120" s="78"/>
      <c r="N120" s="83"/>
      <c r="O120" s="83"/>
      <c r="P120" s="83"/>
    </row>
    <row r="121" spans="1:22" x14ac:dyDescent="0.2">
      <c r="C121" s="61"/>
      <c r="D121" s="61"/>
      <c r="L121" s="78"/>
    </row>
    <row r="122" spans="1:22" x14ac:dyDescent="0.2">
      <c r="L122" s="78"/>
    </row>
    <row r="123" spans="1:22" ht="33.6" customHeight="1" x14ac:dyDescent="0.2">
      <c r="B123" s="158" t="s">
        <v>388</v>
      </c>
      <c r="C123" s="158"/>
      <c r="D123" s="158"/>
      <c r="E123" s="158"/>
      <c r="F123" s="158"/>
      <c r="G123" s="158"/>
      <c r="H123" s="158"/>
      <c r="I123" s="158"/>
      <c r="J123" s="158"/>
      <c r="L123" s="78"/>
      <c r="N123" s="158" t="s">
        <v>388</v>
      </c>
      <c r="O123" s="158"/>
      <c r="P123" s="158"/>
      <c r="Q123" s="158"/>
      <c r="R123" s="158"/>
      <c r="S123" s="158"/>
      <c r="T123" s="158"/>
      <c r="U123" s="158"/>
      <c r="V123" s="158"/>
    </row>
    <row r="124" spans="1:22" x14ac:dyDescent="0.2">
      <c r="L124" s="78"/>
    </row>
    <row r="125" spans="1:22" x14ac:dyDescent="0.2">
      <c r="L125" s="78"/>
    </row>
    <row r="126" spans="1:22" x14ac:dyDescent="0.2">
      <c r="L126" s="78"/>
    </row>
    <row r="127" spans="1:22" ht="10.8" thickBot="1" x14ac:dyDescent="0.25">
      <c r="A127" s="83"/>
      <c r="B127" s="164"/>
      <c r="C127" s="164"/>
      <c r="D127" s="83"/>
      <c r="E127" s="83"/>
      <c r="F127" s="83"/>
      <c r="G127" s="83"/>
      <c r="H127" s="83"/>
      <c r="I127" s="83"/>
      <c r="J127" s="83"/>
      <c r="K127" s="83"/>
      <c r="L127" s="84"/>
      <c r="M127" s="83"/>
      <c r="N127" s="94"/>
      <c r="O127" s="94"/>
      <c r="P127" s="83"/>
      <c r="Q127" s="83"/>
      <c r="R127" s="83"/>
      <c r="S127" s="83"/>
      <c r="T127" s="83"/>
    </row>
    <row r="128" spans="1:22" x14ac:dyDescent="0.2">
      <c r="L128" s="78"/>
    </row>
    <row r="129" spans="2:22" x14ac:dyDescent="0.2">
      <c r="B129" s="160"/>
      <c r="C129" s="166"/>
      <c r="L129" s="78"/>
    </row>
    <row r="130" spans="2:22" x14ac:dyDescent="0.2">
      <c r="L130" s="78"/>
    </row>
    <row r="131" spans="2:22" x14ac:dyDescent="0.2">
      <c r="B131" s="68"/>
      <c r="C131" s="68"/>
      <c r="L131" s="78"/>
      <c r="N131" s="68"/>
      <c r="O131" s="68"/>
    </row>
    <row r="132" spans="2:22" x14ac:dyDescent="0.2">
      <c r="L132" s="78"/>
    </row>
    <row r="133" spans="2:22" x14ac:dyDescent="0.2">
      <c r="L133" s="78"/>
    </row>
    <row r="134" spans="2:22" ht="21" x14ac:dyDescent="0.2">
      <c r="K134" s="69"/>
      <c r="L134" s="79"/>
      <c r="M134" s="70"/>
    </row>
    <row r="135" spans="2:22" s="118" customFormat="1" x14ac:dyDescent="0.2">
      <c r="D135" s="93" t="s">
        <v>36</v>
      </c>
      <c r="E135" s="93" t="s">
        <v>175</v>
      </c>
      <c r="F135" s="93" t="s">
        <v>174</v>
      </c>
      <c r="G135" s="93" t="s">
        <v>55</v>
      </c>
      <c r="H135" s="93" t="s">
        <v>54</v>
      </c>
      <c r="K135" s="119"/>
      <c r="L135" s="120"/>
      <c r="M135" s="121"/>
      <c r="P135" s="93" t="s">
        <v>36</v>
      </c>
      <c r="Q135" s="93" t="s">
        <v>175</v>
      </c>
      <c r="R135" s="93" t="s">
        <v>174</v>
      </c>
      <c r="S135" s="93" t="s">
        <v>55</v>
      </c>
      <c r="T135" s="93" t="s">
        <v>54</v>
      </c>
    </row>
    <row r="136" spans="2:22" ht="22.8" customHeight="1" x14ac:dyDescent="0.2">
      <c r="B136" s="168" t="s">
        <v>338</v>
      </c>
      <c r="C136" s="168"/>
      <c r="D136" s="105">
        <f>VLOOKUP($D$8,BD_ParticipaciónCiudadana!$A$4:$DX$37,3,FALSE)</f>
        <v>49.582969999999996</v>
      </c>
      <c r="E136" s="105">
        <f>VLOOKUP($D$8,BD_ParticipaciónCiudadana!$A$4:$DX$37,4,FALSE)</f>
        <v>54.332679999999996</v>
      </c>
      <c r="F136" s="105">
        <f>VLOOKUP($D$8,BD_ParticipaciónCiudadana!$A$4:$DX$37,5,FALSE)</f>
        <v>44.488900000000001</v>
      </c>
      <c r="G136" s="105">
        <f>VLOOKUP($D$8,BD_ParticipaciónCiudadana!$A$4:$DX$37,7,FALSE)</f>
        <v>53.880969999999998</v>
      </c>
      <c r="H136" s="105">
        <f>VLOOKUP($D$8,BD_ParticipaciónCiudadana!$A$4:$DX$37,6,FALSE)</f>
        <v>48.03687</v>
      </c>
      <c r="L136" s="78"/>
      <c r="N136" s="168" t="s">
        <v>338</v>
      </c>
      <c r="O136" s="168"/>
      <c r="P136" s="105">
        <f>VLOOKUP($P$8,BD_ParticipaciónCiudadana!$A$4:$DX$37,3,FALSE)</f>
        <v>51.8</v>
      </c>
      <c r="Q136" s="105">
        <f>VLOOKUP($P$8,BD_ParticipaciónCiudadana!$A$4:$DX$37,4,FALSE)</f>
        <v>55.661649999999995</v>
      </c>
      <c r="R136" s="105">
        <f>VLOOKUP($P$8,BD_ParticipaciónCiudadana!$A$4:$DX$37,5,FALSE)</f>
        <v>47.748530000000002</v>
      </c>
      <c r="S136" s="105">
        <f>VLOOKUP($P$8,BD_ParticipaciónCiudadana!$A$4:$DX$37,7,FALSE)</f>
        <v>55.631299999999996</v>
      </c>
      <c r="T136" s="105">
        <f>VLOOKUP($P$8,BD_ParticipaciónCiudadana!$A$4:$DX$37,6,FALSE)</f>
        <v>50.137699999999995</v>
      </c>
    </row>
    <row r="137" spans="2:22" s="118" customFormat="1" x14ac:dyDescent="0.2">
      <c r="C137" s="72"/>
      <c r="D137" s="104"/>
      <c r="E137" s="104"/>
      <c r="F137" s="104"/>
      <c r="G137" s="104"/>
      <c r="H137" s="104"/>
      <c r="J137" s="123"/>
      <c r="L137" s="122"/>
      <c r="O137" s="72"/>
      <c r="P137" s="104"/>
      <c r="Q137" s="104"/>
      <c r="R137" s="104"/>
      <c r="S137" s="104"/>
      <c r="T137" s="104"/>
      <c r="V137" s="123"/>
    </row>
    <row r="138" spans="2:22" s="118" customFormat="1" x14ac:dyDescent="0.2">
      <c r="C138" s="170" t="str">
        <f>_xlfn.CONCAT(VLOOKUP($D$8,BD_ParticipaciónCiudadana!$A$4:$DX$37,2,FALSE),": porcentajes de participación ciudadana según grupo de edad y por sexo")</f>
        <v>Aguascalientes: porcentajes de participación ciudadana según grupo de edad y por sexo</v>
      </c>
      <c r="D138" s="170"/>
      <c r="E138" s="170"/>
      <c r="F138" s="170"/>
      <c r="G138" s="170"/>
      <c r="H138" s="170"/>
      <c r="I138" s="170"/>
      <c r="J138" s="123"/>
      <c r="L138" s="122"/>
      <c r="O138" s="170" t="str">
        <f>_xlfn.CONCAT(VLOOKUP($P$8,BD_ParticipaciónCiudadana!$A$4:$DX$37,2,FALSE),": porcentajes de participación ciudadana según grupo de edad y por sexo")</f>
        <v>Nacional: porcentajes de participación ciudadana según grupo de edad y por sexo</v>
      </c>
      <c r="P138" s="170"/>
      <c r="Q138" s="170"/>
      <c r="R138" s="170"/>
      <c r="S138" s="170"/>
      <c r="T138" s="170"/>
      <c r="U138" s="170"/>
      <c r="V138" s="123"/>
    </row>
    <row r="139" spans="2:22" ht="10.8" thickBot="1" x14ac:dyDescent="0.25">
      <c r="D139" s="90"/>
      <c r="E139" s="77"/>
      <c r="F139" s="90"/>
      <c r="L139" s="78"/>
      <c r="P139" s="90"/>
      <c r="Q139" s="77"/>
      <c r="R139" s="90"/>
    </row>
    <row r="140" spans="2:22" ht="20.399999999999999" x14ac:dyDescent="0.2">
      <c r="D140" s="106" t="s">
        <v>339</v>
      </c>
      <c r="E140" s="107" t="s">
        <v>175</v>
      </c>
      <c r="F140" s="107" t="s">
        <v>174</v>
      </c>
      <c r="G140" s="107" t="s">
        <v>36</v>
      </c>
      <c r="H140" s="108" t="s">
        <v>340</v>
      </c>
      <c r="L140" s="78"/>
      <c r="P140" s="106" t="s">
        <v>339</v>
      </c>
      <c r="Q140" s="107" t="s">
        <v>175</v>
      </c>
      <c r="R140" s="107" t="s">
        <v>174</v>
      </c>
      <c r="S140" s="107" t="s">
        <v>36</v>
      </c>
      <c r="T140" s="108" t="s">
        <v>340</v>
      </c>
    </row>
    <row r="141" spans="2:22" s="118" customFormat="1" x14ac:dyDescent="0.2">
      <c r="D141" s="109"/>
      <c r="E141" s="109"/>
      <c r="F141" s="110"/>
      <c r="G141" s="109"/>
      <c r="H141" s="110"/>
      <c r="J141" s="119"/>
      <c r="L141" s="122"/>
      <c r="P141" s="109"/>
      <c r="Q141" s="109"/>
      <c r="R141" s="110"/>
      <c r="S141" s="109"/>
      <c r="T141" s="110"/>
      <c r="V141" s="119"/>
    </row>
    <row r="142" spans="2:22" x14ac:dyDescent="0.2">
      <c r="D142" s="111" t="s">
        <v>36</v>
      </c>
      <c r="E142" s="104">
        <f>VLOOKUP($D$8,BD_ParticipaciónCiudadana!$A$4:$DX$37,26,FALSE)</f>
        <v>54.332679999999996</v>
      </c>
      <c r="F142" s="104">
        <f>VLOOKUP($D$8,BD_ParticipaciónCiudadana!$A$4:$DX$37,43,FALSE)</f>
        <v>44.488900000000001</v>
      </c>
      <c r="G142" s="104">
        <f>VLOOKUP($D$8,BD_ParticipaciónCiudadana!$A$4:$DX$37,60,FALSE)</f>
        <v>49.582969999999996</v>
      </c>
      <c r="H142" s="112">
        <f>E142-F142</f>
        <v>9.8437799999999953</v>
      </c>
      <c r="L142" s="78"/>
      <c r="P142" s="111" t="s">
        <v>36</v>
      </c>
      <c r="Q142" s="104">
        <f>VLOOKUP($P$8,BD_ParticipaciónCiudadana!$A$4:$DX$37,26,FALSE)</f>
        <v>55.661649999999995</v>
      </c>
      <c r="R142" s="104">
        <f>VLOOKUP($P$8,BD_ParticipaciónCiudadana!$A$4:$DX$37,43,FALSE)</f>
        <v>47.748530000000002</v>
      </c>
      <c r="S142" s="104">
        <f>VLOOKUP($P$8,BD_ParticipaciónCiudadana!$A$4:$DX$37,60,FALSE)</f>
        <v>51.8</v>
      </c>
      <c r="T142" s="112">
        <f>Q142-R142</f>
        <v>7.9131199999999922</v>
      </c>
    </row>
    <row r="143" spans="2:22" x14ac:dyDescent="0.2">
      <c r="D143" s="113"/>
      <c r="E143" s="114"/>
      <c r="F143" s="114"/>
      <c r="G143" s="114"/>
      <c r="H143" s="114"/>
      <c r="L143" s="78"/>
      <c r="P143" s="113"/>
      <c r="Q143" s="114"/>
      <c r="R143" s="114"/>
      <c r="S143" s="114"/>
      <c r="T143" s="114"/>
    </row>
    <row r="144" spans="2:22" x14ac:dyDescent="0.2">
      <c r="D144" s="115">
        <v>18</v>
      </c>
      <c r="E144" s="127">
        <f>VLOOKUP($D$8,BD_ParticipaciónCiudadana!$A$4:$DX$37,10,FALSE)</f>
        <v>54.854930000000003</v>
      </c>
      <c r="F144" s="127">
        <f>VLOOKUP($D$8,BD_ParticipaciónCiudadana!$A$4:$DX$37,27,FALSE)</f>
        <v>44.828479999999999</v>
      </c>
      <c r="G144" s="127">
        <f>VLOOKUP($D$8,BD_ParticipaciónCiudadana!$A$4:$DX$37,44,FALSE)</f>
        <v>49.93506</v>
      </c>
      <c r="H144" s="116">
        <f t="shared" ref="H144:H159" si="12">E144-F144</f>
        <v>10.026450000000004</v>
      </c>
      <c r="L144" s="78"/>
      <c r="P144" s="115">
        <v>18</v>
      </c>
      <c r="Q144" s="127">
        <f>VLOOKUP($P$8,BD_ParticipaciónCiudadana!$A$4:$DX$37,10,FALSE)</f>
        <v>59</v>
      </c>
      <c r="R144" s="127">
        <f>VLOOKUP($P$8,BD_ParticipaciónCiudadana!$A$4:$DX$37,27,FALSE)</f>
        <v>52.5</v>
      </c>
      <c r="S144" s="127">
        <f>VLOOKUP($P$8,BD_ParticipaciónCiudadana!$A$4:$DX$37,44,FALSE)</f>
        <v>55.754649999999998</v>
      </c>
      <c r="T144" s="116">
        <f t="shared" ref="T144:T159" si="13">Q144-R144</f>
        <v>6.5</v>
      </c>
    </row>
    <row r="145" spans="4:20" x14ac:dyDescent="0.2">
      <c r="D145" s="115">
        <v>19</v>
      </c>
      <c r="E145" s="127">
        <f>VLOOKUP($D$8,BD_ParticipaciónCiudadana!$A$4:$DX$37,11,FALSE)</f>
        <v>47.208219999999997</v>
      </c>
      <c r="F145" s="127">
        <f>VLOOKUP($D$8,BD_ParticipaciónCiudadana!$A$4:$DX$37,28,FALSE)</f>
        <v>42.547739999999997</v>
      </c>
      <c r="G145" s="127">
        <f>VLOOKUP($D$8,BD_ParticipaciónCiudadana!$A$4:$DX$37,45,FALSE)</f>
        <v>44.86242</v>
      </c>
      <c r="H145" s="116">
        <f t="shared" si="12"/>
        <v>4.6604799999999997</v>
      </c>
      <c r="L145" s="78"/>
      <c r="P145" s="115">
        <v>19</v>
      </c>
      <c r="Q145" s="127">
        <f>VLOOKUP($P$8,BD_ParticipaciónCiudadana!$A$4:$DX$37,11,FALSE)</f>
        <v>52.6</v>
      </c>
      <c r="R145" s="127">
        <f>VLOOKUP($P$8,BD_ParticipaciónCiudadana!$A$4:$DX$37,28,FALSE)</f>
        <v>45.2</v>
      </c>
      <c r="S145" s="127">
        <f>VLOOKUP($P$8,BD_ParticipaciónCiudadana!$A$4:$DX$37,45,FALSE)</f>
        <v>48.909689999999998</v>
      </c>
      <c r="T145" s="116">
        <f t="shared" si="13"/>
        <v>7.3999999999999986</v>
      </c>
    </row>
    <row r="146" spans="4:20" x14ac:dyDescent="0.2">
      <c r="D146" s="115" t="s">
        <v>39</v>
      </c>
      <c r="E146" s="127">
        <f>VLOOKUP($D$8,BD_ParticipaciónCiudadana!$A$4:$DX$37,12,FALSE)</f>
        <v>43.61515</v>
      </c>
      <c r="F146" s="127">
        <f>VLOOKUP($D$8,BD_ParticipaciónCiudadana!$A$4:$DX$37,29,FALSE)</f>
        <v>34.726300000000002</v>
      </c>
      <c r="G146" s="127">
        <f>VLOOKUP($D$8,BD_ParticipaciónCiudadana!$A$4:$DX$37,46,FALSE)</f>
        <v>39.168340000000001</v>
      </c>
      <c r="H146" s="116">
        <f t="shared" si="12"/>
        <v>8.8888499999999979</v>
      </c>
      <c r="L146" s="78"/>
      <c r="P146" s="115" t="s">
        <v>39</v>
      </c>
      <c r="Q146" s="127">
        <f>VLOOKUP($P$8,BD_ParticipaciónCiudadana!$A$4:$DX$37,12,FALSE)</f>
        <v>46.270209999999999</v>
      </c>
      <c r="R146" s="127">
        <f>VLOOKUP($P$8,BD_ParticipaciónCiudadana!$A$4:$DX$37,29,FALSE)</f>
        <v>37.175960000000003</v>
      </c>
      <c r="S146" s="127">
        <f>VLOOKUP($P$8,BD_ParticipaciónCiudadana!$A$4:$DX$37,46,FALSE)</f>
        <v>41.726419999999997</v>
      </c>
      <c r="T146" s="116">
        <f t="shared" si="13"/>
        <v>9.0942499999999953</v>
      </c>
    </row>
    <row r="147" spans="4:20" x14ac:dyDescent="0.2">
      <c r="D147" s="115" t="s">
        <v>40</v>
      </c>
      <c r="E147" s="127">
        <f>VLOOKUP($D$8,BD_ParticipaciónCiudadana!$A$4:$DX$37,13,FALSE)</f>
        <v>43.538520000000005</v>
      </c>
      <c r="F147" s="127">
        <f>VLOOKUP($D$8,BD_ParticipaciónCiudadana!$A$4:$DX$37,30,FALSE)</f>
        <v>33.106549999999999</v>
      </c>
      <c r="G147" s="127">
        <f>VLOOKUP($D$8,BD_ParticipaciónCiudadana!$A$4:$DX$37,47,FALSE)</f>
        <v>38.287569999999995</v>
      </c>
      <c r="H147" s="116">
        <f t="shared" si="12"/>
        <v>10.431970000000007</v>
      </c>
      <c r="L147" s="78"/>
      <c r="P147" s="115" t="s">
        <v>40</v>
      </c>
      <c r="Q147" s="127">
        <f>VLOOKUP($P$8,BD_ParticipaciónCiudadana!$A$4:$DX$37,13,FALSE)</f>
        <v>45.031870000000005</v>
      </c>
      <c r="R147" s="127">
        <f>VLOOKUP($P$8,BD_ParticipaciónCiudadana!$A$4:$DX$37,30,FALSE)</f>
        <v>34.169559999999997</v>
      </c>
      <c r="S147" s="127">
        <f>VLOOKUP($P$8,BD_ParticipaciónCiudadana!$A$4:$DX$37,47,FALSE)</f>
        <v>39.612760000000002</v>
      </c>
      <c r="T147" s="116">
        <f t="shared" si="13"/>
        <v>10.862310000000008</v>
      </c>
    </row>
    <row r="148" spans="4:20" x14ac:dyDescent="0.2">
      <c r="D148" s="115" t="s">
        <v>41</v>
      </c>
      <c r="E148" s="127">
        <f>VLOOKUP($D$8,BD_ParticipaciónCiudadana!$A$4:$DX$37,14,FALSE)</f>
        <v>46.98413</v>
      </c>
      <c r="F148" s="127">
        <f>VLOOKUP($D$8,BD_ParticipaciónCiudadana!$A$4:$DX$37,31,FALSE)</f>
        <v>34.558729999999997</v>
      </c>
      <c r="G148" s="127">
        <f>VLOOKUP($D$8,BD_ParticipaciónCiudadana!$A$4:$DX$37,48,FALSE)</f>
        <v>40.88138</v>
      </c>
      <c r="H148" s="116">
        <f t="shared" si="12"/>
        <v>12.425400000000003</v>
      </c>
      <c r="L148" s="78"/>
      <c r="P148" s="115" t="s">
        <v>41</v>
      </c>
      <c r="Q148" s="127">
        <f>VLOOKUP($P$8,BD_ParticipaciónCiudadana!$A$4:$DX$37,14,FALSE)</f>
        <v>48.756970000000003</v>
      </c>
      <c r="R148" s="127">
        <f>VLOOKUP($P$8,BD_ParticipaciónCiudadana!$A$4:$DX$37,31,FALSE)</f>
        <v>37.577950000000001</v>
      </c>
      <c r="S148" s="127">
        <f>VLOOKUP($P$8,BD_ParticipaciónCiudadana!$A$4:$DX$37,48,FALSE)</f>
        <v>43.274210000000004</v>
      </c>
      <c r="T148" s="116">
        <f t="shared" si="13"/>
        <v>11.179020000000001</v>
      </c>
    </row>
    <row r="149" spans="4:20" x14ac:dyDescent="0.2">
      <c r="D149" s="115" t="s">
        <v>42</v>
      </c>
      <c r="E149" s="127">
        <f>VLOOKUP($D$8,BD_ParticipaciónCiudadana!$A$4:$DX$37,15,FALSE)</f>
        <v>50.199150000000003</v>
      </c>
      <c r="F149" s="127">
        <f>VLOOKUP($D$8,BD_ParticipaciónCiudadana!$A$4:$DX$37,32,FALSE)</f>
        <v>39.547870000000003</v>
      </c>
      <c r="G149" s="127">
        <f>VLOOKUP($D$8,BD_ParticipaciónCiudadana!$A$4:$DX$37,49,FALSE)</f>
        <v>44.935629999999996</v>
      </c>
      <c r="H149" s="116">
        <f t="shared" si="12"/>
        <v>10.65128</v>
      </c>
      <c r="L149" s="78"/>
      <c r="P149" s="115" t="s">
        <v>42</v>
      </c>
      <c r="Q149" s="127">
        <f>VLOOKUP($P$8,BD_ParticipaciónCiudadana!$A$4:$DX$37,15,FALSE)</f>
        <v>53.598040000000005</v>
      </c>
      <c r="R149" s="127">
        <f>VLOOKUP($P$8,BD_ParticipaciónCiudadana!$A$4:$DX$37,32,FALSE)</f>
        <v>42.222110000000001</v>
      </c>
      <c r="S149" s="127">
        <f>VLOOKUP($P$8,BD_ParticipaciónCiudadana!$A$4:$DX$37,49,FALSE)</f>
        <v>48.080950000000001</v>
      </c>
      <c r="T149" s="116">
        <f t="shared" si="13"/>
        <v>11.375930000000004</v>
      </c>
    </row>
    <row r="150" spans="4:20" x14ac:dyDescent="0.2">
      <c r="D150" s="115" t="s">
        <v>43</v>
      </c>
      <c r="E150" s="127">
        <f>VLOOKUP($D$8,BD_ParticipaciónCiudadana!$A$4:$DX$37,16,FALSE)</f>
        <v>55.886020000000002</v>
      </c>
      <c r="F150" s="127">
        <f>VLOOKUP($D$8,BD_ParticipaciónCiudadana!$A$4:$DX$37,33,FALSE)</f>
        <v>43.393129999999999</v>
      </c>
      <c r="G150" s="127">
        <f>VLOOKUP($D$8,BD_ParticipaciónCiudadana!$A$4:$DX$37,50,FALSE)</f>
        <v>49.880929999999999</v>
      </c>
      <c r="H150" s="116">
        <f t="shared" si="12"/>
        <v>12.492890000000003</v>
      </c>
      <c r="L150" s="78"/>
      <c r="P150" s="115" t="s">
        <v>43</v>
      </c>
      <c r="Q150" s="127">
        <f>VLOOKUP($P$8,BD_ParticipaciónCiudadana!$A$4:$DX$37,16,FALSE)</f>
        <v>58.091300000000004</v>
      </c>
      <c r="R150" s="127">
        <f>VLOOKUP($P$8,BD_ParticipaciónCiudadana!$A$4:$DX$37,33,FALSE)</f>
        <v>47.47363</v>
      </c>
      <c r="S150" s="127">
        <f>VLOOKUP($P$8,BD_ParticipaciónCiudadana!$A$4:$DX$37,50,FALSE)</f>
        <v>52.984079999999999</v>
      </c>
      <c r="T150" s="116">
        <f t="shared" si="13"/>
        <v>10.617670000000004</v>
      </c>
    </row>
    <row r="151" spans="4:20" x14ac:dyDescent="0.2">
      <c r="D151" s="115" t="s">
        <v>44</v>
      </c>
      <c r="E151" s="127">
        <f>VLOOKUP($D$8,BD_ParticipaciónCiudadana!$A$4:$DX$37,17,FALSE)</f>
        <v>61.097429999999996</v>
      </c>
      <c r="F151" s="127">
        <f>VLOOKUP($D$8,BD_ParticipaciónCiudadana!$A$4:$DX$37,34,FALSE)</f>
        <v>49.119</v>
      </c>
      <c r="G151" s="127">
        <f>VLOOKUP($D$8,BD_ParticipaciónCiudadana!$A$4:$DX$37,51,FALSE)</f>
        <v>55.342690000000005</v>
      </c>
      <c r="H151" s="116">
        <f t="shared" si="12"/>
        <v>11.978429999999996</v>
      </c>
      <c r="L151" s="78"/>
      <c r="P151" s="115" t="s">
        <v>44</v>
      </c>
      <c r="Q151" s="127">
        <f>VLOOKUP($P$8,BD_ParticipaciónCiudadana!$A$4:$DX$37,17,FALSE)</f>
        <v>61.148769999999999</v>
      </c>
      <c r="R151" s="127">
        <f>VLOOKUP($P$8,BD_ParticipaciónCiudadana!$A$4:$DX$37,34,FALSE)</f>
        <v>52.273139999999998</v>
      </c>
      <c r="S151" s="127">
        <f>VLOOKUP($P$8,BD_ParticipaciónCiudadana!$A$4:$DX$37,51,FALSE)</f>
        <v>56.900720000000007</v>
      </c>
      <c r="T151" s="116">
        <f t="shared" si="13"/>
        <v>8.875630000000001</v>
      </c>
    </row>
    <row r="152" spans="4:20" x14ac:dyDescent="0.2">
      <c r="D152" s="115" t="s">
        <v>45</v>
      </c>
      <c r="E152" s="127">
        <f>VLOOKUP($D$8,BD_ParticipaciónCiudadana!$A$4:$DX$37,18,FALSE)</f>
        <v>62.849509999999995</v>
      </c>
      <c r="F152" s="127">
        <f>VLOOKUP($D$8,BD_ParticipaciónCiudadana!$A$4:$DX$37,35,FALSE)</f>
        <v>52.616039999999998</v>
      </c>
      <c r="G152" s="127">
        <f>VLOOKUP($D$8,BD_ParticipaciónCiudadana!$A$4:$DX$37,52,FALSE)</f>
        <v>58.090929999999993</v>
      </c>
      <c r="H152" s="116">
        <f t="shared" si="12"/>
        <v>10.233469999999997</v>
      </c>
      <c r="L152" s="78"/>
      <c r="P152" s="115" t="s">
        <v>45</v>
      </c>
      <c r="Q152" s="127">
        <f>VLOOKUP($P$8,BD_ParticipaciónCiudadana!$A$4:$DX$37,18,FALSE)</f>
        <v>63.832199999999993</v>
      </c>
      <c r="R152" s="127">
        <f>VLOOKUP($P$8,BD_ParticipaciónCiudadana!$A$4:$DX$37,35,FALSE)</f>
        <v>56.382659999999994</v>
      </c>
      <c r="S152" s="127">
        <f>VLOOKUP($P$8,BD_ParticipaciónCiudadana!$A$4:$DX$37,52,FALSE)</f>
        <v>60.303580000000004</v>
      </c>
      <c r="T152" s="116">
        <f t="shared" si="13"/>
        <v>7.4495399999999989</v>
      </c>
    </row>
    <row r="153" spans="4:20" x14ac:dyDescent="0.2">
      <c r="D153" s="115" t="s">
        <v>46</v>
      </c>
      <c r="E153" s="127">
        <f>VLOOKUP($D$8,BD_ParticipaciónCiudadana!$A$4:$DX$37,19,FALSE)</f>
        <v>66.955650000000006</v>
      </c>
      <c r="F153" s="127">
        <f>VLOOKUP($D$8,BD_ParticipaciónCiudadana!$A$4:$DX$37,36,FALSE)</f>
        <v>57.53049</v>
      </c>
      <c r="G153" s="127">
        <f>VLOOKUP($D$8,BD_ParticipaciónCiudadana!$A$4:$DX$37,53,FALSE)</f>
        <v>62.572980000000001</v>
      </c>
      <c r="H153" s="116">
        <f t="shared" si="12"/>
        <v>9.4251600000000053</v>
      </c>
      <c r="L153" s="78"/>
      <c r="P153" s="115" t="s">
        <v>46</v>
      </c>
      <c r="Q153" s="127">
        <f>VLOOKUP($P$8,BD_ParticipaciónCiudadana!$A$4:$DX$37,19,FALSE)</f>
        <v>65.433199999999999</v>
      </c>
      <c r="R153" s="127">
        <f>VLOOKUP($P$8,BD_ParticipaciónCiudadana!$A$4:$DX$37,36,FALSE)</f>
        <v>60.034580000000005</v>
      </c>
      <c r="S153" s="127">
        <f>VLOOKUP($P$8,BD_ParticipaciónCiudadana!$A$4:$DX$37,53,FALSE)</f>
        <v>62.90643</v>
      </c>
      <c r="T153" s="116">
        <f t="shared" si="13"/>
        <v>5.398619999999994</v>
      </c>
    </row>
    <row r="154" spans="4:20" x14ac:dyDescent="0.2">
      <c r="D154" s="115" t="s">
        <v>47</v>
      </c>
      <c r="E154" s="127">
        <f>VLOOKUP($D$8,BD_ParticipaciónCiudadana!$A$4:$DX$37,20,FALSE)</f>
        <v>68.915350000000004</v>
      </c>
      <c r="F154" s="127">
        <f>VLOOKUP($D$8,BD_ParticipaciónCiudadana!$A$4:$DX$37,37,FALSE)</f>
        <v>62.721190000000007</v>
      </c>
      <c r="G154" s="127">
        <f>VLOOKUP($D$8,BD_ParticipaciónCiudadana!$A$4:$DX$37,54,FALSE)</f>
        <v>66.042959999999994</v>
      </c>
      <c r="H154" s="116">
        <f t="shared" si="12"/>
        <v>6.1941599999999966</v>
      </c>
      <c r="L154" s="78"/>
      <c r="P154" s="115" t="s">
        <v>47</v>
      </c>
      <c r="Q154" s="127">
        <f>VLOOKUP($P$8,BD_ParticipaciónCiudadana!$A$4:$DX$37,20,FALSE)</f>
        <v>66.911200000000008</v>
      </c>
      <c r="R154" s="127">
        <f>VLOOKUP($P$8,BD_ParticipaciónCiudadana!$A$4:$DX$37,37,FALSE)</f>
        <v>64.295659999999998</v>
      </c>
      <c r="S154" s="127">
        <f>VLOOKUP($P$8,BD_ParticipaciónCiudadana!$A$4:$DX$37,54,FALSE)</f>
        <v>65.692039999999992</v>
      </c>
      <c r="T154" s="116">
        <f t="shared" si="13"/>
        <v>2.61554000000001</v>
      </c>
    </row>
    <row r="155" spans="4:20" x14ac:dyDescent="0.2">
      <c r="D155" s="115" t="s">
        <v>48</v>
      </c>
      <c r="E155" s="127">
        <f>VLOOKUP($D$8,BD_ParticipaciónCiudadana!$A$4:$DX$37,21,FALSE)</f>
        <v>70.862679999999997</v>
      </c>
      <c r="F155" s="127">
        <f>VLOOKUP($D$8,BD_ParticipaciónCiudadana!$A$4:$DX$37,38,FALSE)</f>
        <v>66.969639999999998</v>
      </c>
      <c r="G155" s="127">
        <f>VLOOKUP($D$8,BD_ParticipaciónCiudadana!$A$4:$DX$37,55,FALSE)</f>
        <v>69.061430000000001</v>
      </c>
      <c r="H155" s="116">
        <f t="shared" si="12"/>
        <v>3.8930399999999992</v>
      </c>
      <c r="L155" s="78"/>
      <c r="P155" s="115" t="s">
        <v>48</v>
      </c>
      <c r="Q155" s="127">
        <f>VLOOKUP($P$8,BD_ParticipaciónCiudadana!$A$4:$DX$37,21,FALSE)</f>
        <v>68.351050000000001</v>
      </c>
      <c r="R155" s="127">
        <f>VLOOKUP($P$8,BD_ParticipaciónCiudadana!$A$4:$DX$37,38,FALSE)</f>
        <v>68.46811000000001</v>
      </c>
      <c r="S155" s="127">
        <f>VLOOKUP($P$8,BD_ParticipaciónCiudadana!$A$4:$DX$37,55,FALSE)</f>
        <v>68.405439999999999</v>
      </c>
      <c r="T155" s="116">
        <f t="shared" si="13"/>
        <v>-0.11706000000000927</v>
      </c>
    </row>
    <row r="156" spans="4:20" x14ac:dyDescent="0.2">
      <c r="D156" s="115" t="s">
        <v>49</v>
      </c>
      <c r="E156" s="127">
        <f>VLOOKUP($D$8,BD_ParticipaciónCiudadana!$A$4:$DX$37,22,FALSE)</f>
        <v>68.386470000000003</v>
      </c>
      <c r="F156" s="127">
        <f>VLOOKUP($D$8,BD_ParticipaciónCiudadana!$A$4:$DX$37,39,FALSE)</f>
        <v>69.256019999999992</v>
      </c>
      <c r="G156" s="127">
        <f>VLOOKUP($D$8,BD_ParticipaciónCiudadana!$A$4:$DX$37,56,FALSE)</f>
        <v>68.780540000000002</v>
      </c>
      <c r="H156" s="116">
        <f t="shared" si="12"/>
        <v>-0.86954999999998961</v>
      </c>
      <c r="L156" s="78"/>
      <c r="P156" s="115" t="s">
        <v>49</v>
      </c>
      <c r="Q156" s="127">
        <f>VLOOKUP($P$8,BD_ParticipaciónCiudadana!$A$4:$DX$37,22,FALSE)</f>
        <v>66.155540000000002</v>
      </c>
      <c r="R156" s="127">
        <f>VLOOKUP($P$8,BD_ParticipaciónCiudadana!$A$4:$DX$37,39,FALSE)</f>
        <v>69.318129999999996</v>
      </c>
      <c r="S156" s="127">
        <f>VLOOKUP($P$8,BD_ParticipaciónCiudadana!$A$4:$DX$37,56,FALSE)</f>
        <v>67.618359999999996</v>
      </c>
      <c r="T156" s="116">
        <f t="shared" si="13"/>
        <v>-3.1625899999999945</v>
      </c>
    </row>
    <row r="157" spans="4:20" x14ac:dyDescent="0.2">
      <c r="D157" s="115" t="s">
        <v>50</v>
      </c>
      <c r="E157" s="127">
        <f>VLOOKUP($D$8,BD_ParticipaciónCiudadana!$A$4:$DX$37,23,FALSE)</f>
        <v>62.868299999999998</v>
      </c>
      <c r="F157" s="127">
        <f>VLOOKUP($D$8,BD_ParticipaciónCiudadana!$A$4:$DX$37,40,FALSE)</f>
        <v>63.341950000000004</v>
      </c>
      <c r="G157" s="127">
        <f>VLOOKUP($D$8,BD_ParticipaciónCiudadana!$A$4:$DX$37,57,FALSE)</f>
        <v>63.077640000000002</v>
      </c>
      <c r="H157" s="116">
        <f t="shared" si="12"/>
        <v>-0.47365000000000634</v>
      </c>
      <c r="L157" s="78"/>
      <c r="P157" s="115" t="s">
        <v>50</v>
      </c>
      <c r="Q157" s="127">
        <f>VLOOKUP($P$8,BD_ParticipaciónCiudadana!$A$4:$DX$37,23,FALSE)</f>
        <v>60.351750000000003</v>
      </c>
      <c r="R157" s="127">
        <f>VLOOKUP($P$8,BD_ParticipaciónCiudadana!$A$4:$DX$37,40,FALSE)</f>
        <v>65.999989999999997</v>
      </c>
      <c r="S157" s="127">
        <f>VLOOKUP($P$8,BD_ParticipaciónCiudadana!$A$4:$DX$37,57,FALSE)</f>
        <v>62.918819999999997</v>
      </c>
      <c r="T157" s="116">
        <f t="shared" si="13"/>
        <v>-5.6482399999999942</v>
      </c>
    </row>
    <row r="158" spans="4:20" x14ac:dyDescent="0.2">
      <c r="D158" s="115" t="s">
        <v>51</v>
      </c>
      <c r="E158" s="127">
        <f>VLOOKUP($D$8,BD_ParticipaciónCiudadana!$A$4:$DX$37,24,FALSE)</f>
        <v>52.750390000000003</v>
      </c>
      <c r="F158" s="127">
        <f>VLOOKUP($D$8,BD_ParticipaciónCiudadana!$A$4:$DX$37,41,FALSE)</f>
        <v>59.919629999999998</v>
      </c>
      <c r="G158" s="127">
        <f>VLOOKUP($D$8,BD_ParticipaciónCiudadana!$A$4:$DX$37,58,FALSE)</f>
        <v>55.5839</v>
      </c>
      <c r="H158" s="116">
        <f t="shared" si="12"/>
        <v>-7.169239999999995</v>
      </c>
      <c r="L158" s="78"/>
      <c r="P158" s="115" t="s">
        <v>51</v>
      </c>
      <c r="Q158" s="127">
        <f>VLOOKUP($P$8,BD_ParticipaciónCiudadana!$A$4:$DX$37,24,FALSE)</f>
        <v>50.355830000000005</v>
      </c>
      <c r="R158" s="127">
        <f>VLOOKUP($P$8,BD_ParticipaciónCiudadana!$A$4:$DX$37,41,FALSE)</f>
        <v>58.963290000000001</v>
      </c>
      <c r="S158" s="127">
        <f>VLOOKUP($P$8,BD_ParticipaciónCiudadana!$A$4:$DX$37,58,FALSE)</f>
        <v>54.135330000000003</v>
      </c>
      <c r="T158" s="116">
        <f t="shared" si="13"/>
        <v>-8.6074599999999961</v>
      </c>
    </row>
    <row r="159" spans="4:20" x14ac:dyDescent="0.2">
      <c r="D159" s="115" t="s">
        <v>52</v>
      </c>
      <c r="E159" s="127">
        <f>VLOOKUP($D$8,BD_ParticipaciónCiudadana!$A$4:$DX$37,25,FALSE)</f>
        <v>36.475950000000005</v>
      </c>
      <c r="F159" s="127">
        <f>VLOOKUP($D$8,BD_ParticipaciónCiudadana!$A$4:$DX$37,42,FALSE)</f>
        <v>43.807960000000001</v>
      </c>
      <c r="G159" s="127">
        <f>VLOOKUP($D$8,BD_ParticipaciónCiudadana!$A$4:$DX$37,59,FALSE)</f>
        <v>39.428789999999999</v>
      </c>
      <c r="H159" s="116">
        <f t="shared" si="12"/>
        <v>-7.3320099999999968</v>
      </c>
      <c r="L159" s="78"/>
      <c r="P159" s="115" t="s">
        <v>52</v>
      </c>
      <c r="Q159" s="127">
        <f>VLOOKUP($P$8,BD_ParticipaciónCiudadana!$A$4:$DX$37,25,FALSE)</f>
        <v>32.210139999999996</v>
      </c>
      <c r="R159" s="127">
        <f>VLOOKUP($P$8,BD_ParticipaciónCiudadana!$A$4:$DX$37,42,FALSE)</f>
        <v>41.293880000000001</v>
      </c>
      <c r="S159" s="127">
        <f>VLOOKUP($P$8,BD_ParticipaciónCiudadana!$A$4:$DX$37,59,FALSE)</f>
        <v>35.916110000000003</v>
      </c>
      <c r="T159" s="116">
        <f t="shared" si="13"/>
        <v>-9.0837400000000059</v>
      </c>
    </row>
    <row r="160" spans="4:20" ht="10.8" thickBot="1" x14ac:dyDescent="0.25">
      <c r="D160" s="117"/>
      <c r="E160" s="117"/>
      <c r="F160" s="117"/>
      <c r="G160" s="117"/>
      <c r="H160" s="117"/>
      <c r="L160" s="78"/>
      <c r="P160" s="117"/>
      <c r="Q160" s="117"/>
      <c r="R160" s="117"/>
      <c r="S160" s="117"/>
      <c r="T160" s="117"/>
    </row>
    <row r="161" spans="12:12" x14ac:dyDescent="0.2">
      <c r="L161" s="78"/>
    </row>
    <row r="162" spans="12:12" x14ac:dyDescent="0.2">
      <c r="L162" s="78"/>
    </row>
    <row r="163" spans="12:12" x14ac:dyDescent="0.2">
      <c r="L163" s="78"/>
    </row>
    <row r="164" spans="12:12" x14ac:dyDescent="0.2">
      <c r="L164" s="78"/>
    </row>
    <row r="165" spans="12:12" x14ac:dyDescent="0.2">
      <c r="L165" s="78"/>
    </row>
    <row r="166" spans="12:12" x14ac:dyDescent="0.2">
      <c r="L166" s="78"/>
    </row>
    <row r="167" spans="12:12" x14ac:dyDescent="0.2">
      <c r="L167" s="78"/>
    </row>
    <row r="168" spans="12:12" x14ac:dyDescent="0.2">
      <c r="L168" s="78"/>
    </row>
    <row r="169" spans="12:12" x14ac:dyDescent="0.2">
      <c r="L169" s="78"/>
    </row>
    <row r="170" spans="12:12" x14ac:dyDescent="0.2">
      <c r="L170" s="78"/>
    </row>
    <row r="171" spans="12:12" x14ac:dyDescent="0.2">
      <c r="L171" s="78"/>
    </row>
    <row r="172" spans="12:12" x14ac:dyDescent="0.2">
      <c r="L172" s="78"/>
    </row>
    <row r="173" spans="12:12" x14ac:dyDescent="0.2">
      <c r="L173" s="78"/>
    </row>
    <row r="174" spans="12:12" x14ac:dyDescent="0.2">
      <c r="L174" s="78"/>
    </row>
    <row r="175" spans="12:12" x14ac:dyDescent="0.2">
      <c r="L175" s="78"/>
    </row>
    <row r="176" spans="12:12" x14ac:dyDescent="0.2">
      <c r="L176" s="78"/>
    </row>
    <row r="177" spans="3:21" x14ac:dyDescent="0.2">
      <c r="L177" s="78"/>
    </row>
    <row r="178" spans="3:21" x14ac:dyDescent="0.2">
      <c r="L178" s="78"/>
    </row>
    <row r="179" spans="3:21" x14ac:dyDescent="0.2">
      <c r="L179" s="78"/>
    </row>
    <row r="180" spans="3:21" x14ac:dyDescent="0.2">
      <c r="L180" s="78"/>
    </row>
    <row r="181" spans="3:21" x14ac:dyDescent="0.2">
      <c r="L181" s="78"/>
    </row>
    <row r="182" spans="3:21" x14ac:dyDescent="0.2">
      <c r="L182" s="78"/>
    </row>
    <row r="183" spans="3:21" x14ac:dyDescent="0.2">
      <c r="L183" s="78"/>
    </row>
    <row r="184" spans="3:21" x14ac:dyDescent="0.2">
      <c r="L184" s="78"/>
    </row>
    <row r="185" spans="3:21" x14ac:dyDescent="0.2">
      <c r="L185" s="78"/>
    </row>
    <row r="186" spans="3:21" x14ac:dyDescent="0.2">
      <c r="C186" s="169" t="str">
        <f>_xlfn.CONCAT(VLOOKUP($D$8,BD_ParticipaciónCiudadana!$A$4:$DX$37,2,FALSE),": porcentajes de participación ciudadana por tipo de sección")</f>
        <v>Aguascalientes: porcentajes de participación ciudadana por tipo de sección</v>
      </c>
      <c r="D186" s="169"/>
      <c r="E186" s="169"/>
      <c r="F186" s="169"/>
      <c r="G186" s="169"/>
      <c r="H186" s="169"/>
      <c r="I186" s="169"/>
      <c r="L186" s="78"/>
      <c r="O186" s="169" t="str">
        <f>_xlfn.CONCAT(VLOOKUP($P$8,BD_ParticipaciónCiudadana!$A$4:$DX$37,2,FALSE),": porcentajes de participación ciudadana por tipo de sección")</f>
        <v>Nacional: porcentajes de participación ciudadana por tipo de sección</v>
      </c>
      <c r="P186" s="169"/>
      <c r="Q186" s="169"/>
      <c r="R186" s="169"/>
      <c r="S186" s="169"/>
      <c r="T186" s="169"/>
      <c r="U186" s="169"/>
    </row>
    <row r="187" spans="3:21" x14ac:dyDescent="0.2">
      <c r="L187" s="78"/>
    </row>
    <row r="188" spans="3:21" ht="10.8" thickBot="1" x14ac:dyDescent="0.25">
      <c r="L188" s="78"/>
    </row>
    <row r="189" spans="3:21" ht="20.399999999999999" x14ac:dyDescent="0.2">
      <c r="C189" s="106" t="s">
        <v>53</v>
      </c>
      <c r="D189" s="107" t="s">
        <v>57</v>
      </c>
      <c r="E189" s="107" t="s">
        <v>56</v>
      </c>
      <c r="F189" s="107" t="s">
        <v>55</v>
      </c>
      <c r="G189" s="107" t="s">
        <v>54</v>
      </c>
      <c r="H189" s="107" t="s">
        <v>36</v>
      </c>
      <c r="L189" s="78"/>
      <c r="O189" s="106" t="s">
        <v>53</v>
      </c>
      <c r="P189" s="107" t="s">
        <v>57</v>
      </c>
      <c r="Q189" s="107" t="s">
        <v>56</v>
      </c>
      <c r="R189" s="107" t="s">
        <v>55</v>
      </c>
      <c r="S189" s="107" t="s">
        <v>54</v>
      </c>
      <c r="T189" s="107" t="s">
        <v>36</v>
      </c>
    </row>
    <row r="190" spans="3:21" x14ac:dyDescent="0.2">
      <c r="C190" s="109"/>
      <c r="D190" s="109"/>
      <c r="E190" s="110"/>
      <c r="F190" s="110"/>
      <c r="G190" s="109"/>
      <c r="H190" s="109"/>
      <c r="L190" s="78"/>
      <c r="O190" s="109"/>
      <c r="P190" s="109"/>
      <c r="Q190" s="110"/>
      <c r="R190" s="110"/>
      <c r="S190" s="109"/>
      <c r="T190" s="109"/>
    </row>
    <row r="191" spans="3:21" x14ac:dyDescent="0.2">
      <c r="C191" s="111" t="s">
        <v>36</v>
      </c>
      <c r="D191" s="127">
        <f>VLOOKUP($D$8,BD_ParticipaciónCiudadana!$A$4:$DX$37,111,FALSE)</f>
        <v>50.472353400000003</v>
      </c>
      <c r="E191" s="127">
        <f>VLOOKUP($D$8,BD_ParticipaciónCiudadana!$A$4:$DX$37,128,FALSE)</f>
        <v>59.279132199999992</v>
      </c>
      <c r="F191" s="127">
        <f>VLOOKUP($D$8,BD_ParticipaciónCiudadana!$A$4:$DX$37,94,FALSE)</f>
        <v>53.880969999999998</v>
      </c>
      <c r="G191" s="127">
        <f>VLOOKUP($D$8,BD_ParticipaciónCiudadana!$A$4:$DX$37,77,FALSE)</f>
        <v>48.03687</v>
      </c>
      <c r="H191" s="127">
        <f>VLOOKUP($D$8,BD_ParticipaciónCiudadana!$A$4:$DX$37,60,FALSE)</f>
        <v>49.582969999999996</v>
      </c>
      <c r="L191" s="78"/>
      <c r="O191" s="111" t="s">
        <v>36</v>
      </c>
      <c r="P191" s="127">
        <f>VLOOKUP($P$8,BD_ParticipaciónCiudadana!$A$4:$PX$37,111,FALSE)</f>
        <v>52.122418800000005</v>
      </c>
      <c r="Q191" s="127">
        <f>VLOOKUP($P$8,BD_ParticipaciónCiudadana!$A$4:$PX$37,128,FALSE)</f>
        <v>58.521409499999997</v>
      </c>
      <c r="R191" s="127">
        <f>VLOOKUP($P$8,BD_ParticipaciónCiudadana!$A$4:$PX$37,94,FALSE)</f>
        <v>55.631299999999996</v>
      </c>
      <c r="S191" s="127">
        <f>VLOOKUP($P$8,BD_ParticipaciónCiudadana!$A$4:$PX$37,77,FALSE)</f>
        <v>50.137699999999995</v>
      </c>
      <c r="T191" s="127">
        <f>VLOOKUP($P$8,BD_ParticipaciónCiudadana!$A$4:$PX$37,60,FALSE)</f>
        <v>51.8</v>
      </c>
    </row>
    <row r="192" spans="3:21" ht="10.8" thickBot="1" x14ac:dyDescent="0.25">
      <c r="C192" s="117"/>
      <c r="D192" s="117"/>
      <c r="E192" s="117"/>
      <c r="F192" s="117"/>
      <c r="G192" s="117"/>
      <c r="H192" s="117"/>
      <c r="L192" s="78"/>
      <c r="O192" s="117"/>
      <c r="P192" s="117"/>
      <c r="Q192" s="117"/>
      <c r="R192" s="117"/>
      <c r="S192" s="117"/>
      <c r="T192" s="117"/>
    </row>
    <row r="193" spans="3:21" x14ac:dyDescent="0.2">
      <c r="L193" s="78"/>
    </row>
    <row r="194" spans="3:21" x14ac:dyDescent="0.2">
      <c r="L194" s="78"/>
    </row>
    <row r="195" spans="3:21" x14ac:dyDescent="0.2">
      <c r="L195" s="78"/>
    </row>
    <row r="196" spans="3:21" x14ac:dyDescent="0.2">
      <c r="L196" s="78"/>
    </row>
    <row r="197" spans="3:21" x14ac:dyDescent="0.2">
      <c r="L197" s="78"/>
    </row>
    <row r="198" spans="3:21" x14ac:dyDescent="0.2">
      <c r="L198" s="78"/>
    </row>
    <row r="199" spans="3:21" x14ac:dyDescent="0.2">
      <c r="L199" s="78"/>
    </row>
    <row r="200" spans="3:21" x14ac:dyDescent="0.2">
      <c r="L200" s="78"/>
    </row>
    <row r="201" spans="3:21" x14ac:dyDescent="0.2">
      <c r="L201" s="78"/>
    </row>
    <row r="202" spans="3:21" x14ac:dyDescent="0.2">
      <c r="L202" s="78"/>
    </row>
    <row r="203" spans="3:21" x14ac:dyDescent="0.2">
      <c r="L203" s="78"/>
    </row>
    <row r="204" spans="3:21" x14ac:dyDescent="0.2">
      <c r="L204" s="78"/>
    </row>
    <row r="205" spans="3:21" x14ac:dyDescent="0.2">
      <c r="L205" s="78"/>
    </row>
    <row r="206" spans="3:21" x14ac:dyDescent="0.2">
      <c r="L206" s="78"/>
    </row>
    <row r="207" spans="3:21" x14ac:dyDescent="0.2">
      <c r="L207" s="78"/>
    </row>
    <row r="208" spans="3:21" x14ac:dyDescent="0.2">
      <c r="C208" s="169" t="str">
        <f>_xlfn.CONCAT(VLOOKUP($D$8,BD_ParticipaciónCiudadana!$A$4:$DX$37,2,FALSE),": porcentajes de participación ciudadana según grupo de edad y tipo de sección")</f>
        <v>Aguascalientes: porcentajes de participación ciudadana según grupo de edad y tipo de sección</v>
      </c>
      <c r="D208" s="169"/>
      <c r="E208" s="169"/>
      <c r="F208" s="169"/>
      <c r="G208" s="169"/>
      <c r="H208" s="169"/>
      <c r="I208" s="169"/>
      <c r="L208" s="78"/>
      <c r="O208" s="169" t="str">
        <f>_xlfn.CONCAT(VLOOKUP($P$8,BD_ParticipaciónCiudadana!$A$4:$PX$37,2,FALSE),": porcentajes de participación ciudadana según grupo de edad y tipo de sección")</f>
        <v>Nacional: porcentajes de participación ciudadana según grupo de edad y tipo de sección</v>
      </c>
      <c r="P208" s="169"/>
      <c r="Q208" s="169"/>
      <c r="R208" s="169"/>
      <c r="S208" s="169"/>
      <c r="T208" s="169"/>
      <c r="U208" s="169"/>
    </row>
    <row r="209" spans="4:20" ht="10.8" thickBot="1" x14ac:dyDescent="0.25">
      <c r="L209" s="78"/>
    </row>
    <row r="210" spans="4:20" ht="30.6" x14ac:dyDescent="0.2">
      <c r="D210" s="106" t="s">
        <v>339</v>
      </c>
      <c r="E210" s="107" t="s">
        <v>55</v>
      </c>
      <c r="F210" s="107" t="s">
        <v>54</v>
      </c>
      <c r="G210" s="107" t="s">
        <v>36</v>
      </c>
      <c r="H210" s="108" t="s">
        <v>342</v>
      </c>
      <c r="L210" s="78"/>
      <c r="P210" s="106" t="s">
        <v>339</v>
      </c>
      <c r="Q210" s="107" t="s">
        <v>55</v>
      </c>
      <c r="R210" s="107" t="s">
        <v>54</v>
      </c>
      <c r="S210" s="107" t="s">
        <v>36</v>
      </c>
      <c r="T210" s="108" t="s">
        <v>342</v>
      </c>
    </row>
    <row r="211" spans="4:20" x14ac:dyDescent="0.2">
      <c r="D211" s="109"/>
      <c r="E211" s="109"/>
      <c r="F211" s="110"/>
      <c r="G211" s="109"/>
      <c r="H211" s="110"/>
      <c r="L211" s="78"/>
      <c r="P211" s="109"/>
      <c r="Q211" s="109"/>
      <c r="R211" s="110"/>
      <c r="S211" s="109"/>
      <c r="T211" s="110"/>
    </row>
    <row r="212" spans="4:20" x14ac:dyDescent="0.2">
      <c r="D212" s="111" t="s">
        <v>36</v>
      </c>
      <c r="E212" s="127">
        <f>VLOOKUP($D$8,BD_ParticipaciónCiudadana!$A$4:$DX$37,94,FALSE)</f>
        <v>53.880969999999998</v>
      </c>
      <c r="F212" s="127">
        <f>VLOOKUP($D$8,BD_ParticipaciónCiudadana!$A$4:$DX$37,77,FALSE)</f>
        <v>48.03687</v>
      </c>
      <c r="G212" s="127">
        <f>VLOOKUP($D$8,BD_ParticipaciónCiudadana!$A$4:$DX$37,60,FALSE)</f>
        <v>49.582969999999996</v>
      </c>
      <c r="H212" s="112">
        <f>E212-F212</f>
        <v>5.8440999999999974</v>
      </c>
      <c r="L212" s="78"/>
      <c r="P212" s="111" t="s">
        <v>36</v>
      </c>
      <c r="Q212" s="127">
        <f>VLOOKUP($P$8,BD_ParticipaciónCiudadana!$A$4:$PX$37,94,FALSE)</f>
        <v>55.631299999999996</v>
      </c>
      <c r="R212" s="127">
        <f>VLOOKUP($P$8,BD_ParticipaciónCiudadana!$A$4:$PX$37,77,FALSE)</f>
        <v>50.137699999999995</v>
      </c>
      <c r="S212" s="127">
        <f>VLOOKUP($P$8,BD_ParticipaciónCiudadana!$A$4:$PX$37,60,FALSE)</f>
        <v>51.8</v>
      </c>
      <c r="T212" s="112">
        <f>Q212-R212</f>
        <v>5.4936000000000007</v>
      </c>
    </row>
    <row r="213" spans="4:20" x14ac:dyDescent="0.2">
      <c r="D213" s="113"/>
      <c r="E213" s="114"/>
      <c r="F213" s="114"/>
      <c r="G213" s="114"/>
      <c r="H213" s="114"/>
      <c r="L213" s="78"/>
      <c r="P213" s="113"/>
      <c r="Q213" s="114"/>
      <c r="R213" s="114"/>
      <c r="S213" s="114"/>
      <c r="T213" s="114"/>
    </row>
    <row r="214" spans="4:20" x14ac:dyDescent="0.2">
      <c r="D214" s="115">
        <v>18</v>
      </c>
      <c r="E214" s="127">
        <f>VLOOKUP($D$8,BD_ParticipaciónCiudadana!$A$4:$DX$37,78,FALSE)</f>
        <v>56.133679999999998</v>
      </c>
      <c r="F214" s="127">
        <f>VLOOKUP($D$8,BD_ParticipaciónCiudadana!$A$4:$DX$37,61,FALSE)</f>
        <v>47.134320000000002</v>
      </c>
      <c r="G214" s="127">
        <f>VLOOKUP($D$8,BD_ParticipaciónCiudadana!$A$4:$DX$37,44,FALSE)</f>
        <v>49.93506</v>
      </c>
      <c r="H214" s="116">
        <f t="shared" ref="H214:H229" si="14">E214-F214</f>
        <v>8.9993599999999958</v>
      </c>
      <c r="L214" s="78"/>
      <c r="P214" s="115">
        <v>18</v>
      </c>
      <c r="Q214" s="127">
        <f>VLOOKUP($P$8,BD_ParticipaciónCiudadana!$A$4:$PX$37,78,FALSE)</f>
        <v>58.5</v>
      </c>
      <c r="R214" s="127">
        <f>VLOOKUP($P$8,BD_ParticipaciónCiudadana!$A$4:$PX$37,61,FALSE)</f>
        <v>54.5</v>
      </c>
      <c r="S214" s="127">
        <f>VLOOKUP($P$8,BD_ParticipaciónCiudadana!$A$4:$PX$37,44,FALSE)</f>
        <v>55.754649999999998</v>
      </c>
      <c r="T214" s="116">
        <f t="shared" ref="T214:T229" si="15">Q214-R214</f>
        <v>4</v>
      </c>
    </row>
    <row r="215" spans="4:20" x14ac:dyDescent="0.2">
      <c r="D215" s="115">
        <v>19</v>
      </c>
      <c r="E215" s="127">
        <f>VLOOKUP($D$8,BD_ParticipaciónCiudadana!$A$4:$DX$37,79,FALSE)</f>
        <v>48.88485</v>
      </c>
      <c r="F215" s="127">
        <f>VLOOKUP($D$8,BD_ParticipaciónCiudadana!$A$4:$DX$37,62,FALSE)</f>
        <v>43.117060000000002</v>
      </c>
      <c r="G215" s="127">
        <f>VLOOKUP($D$8,BD_ParticipaciónCiudadana!$A$4:$DX$37,45,FALSE)</f>
        <v>44.86242</v>
      </c>
      <c r="H215" s="116">
        <f t="shared" si="14"/>
        <v>5.767789999999998</v>
      </c>
      <c r="L215" s="78"/>
      <c r="P215" s="115">
        <v>19</v>
      </c>
      <c r="Q215" s="127">
        <f>VLOOKUP($P$8,BD_ParticipaciónCiudadana!$A$4:$PX$37,79,FALSE)</f>
        <v>52.2</v>
      </c>
      <c r="R215" s="127">
        <f>VLOOKUP($P$8,BD_ParticipaciónCiudadana!$A$4:$PX$37,62,FALSE)</f>
        <v>47.3</v>
      </c>
      <c r="S215" s="127">
        <f>VLOOKUP($P$8,BD_ParticipaciónCiudadana!$A$4:$PX$37,45,FALSE)</f>
        <v>48.909689999999998</v>
      </c>
      <c r="T215" s="116">
        <f t="shared" si="15"/>
        <v>4.9000000000000057</v>
      </c>
    </row>
    <row r="216" spans="4:20" x14ac:dyDescent="0.2">
      <c r="D216" s="115" t="s">
        <v>39</v>
      </c>
      <c r="E216" s="127">
        <f>VLOOKUP($D$8,BD_ParticipaciónCiudadana!$A$4:$DX$37,80,FALSE)</f>
        <v>45.449550000000002</v>
      </c>
      <c r="F216" s="127">
        <f>VLOOKUP($D$8,BD_ParticipaciónCiudadana!$A$4:$DX$37,63,FALSE)</f>
        <v>36.751350000000002</v>
      </c>
      <c r="G216" s="127">
        <f>VLOOKUP($D$8,BD_ParticipaciónCiudadana!$A$4:$DX$37,46,FALSE)</f>
        <v>39.168340000000001</v>
      </c>
      <c r="H216" s="116">
        <f t="shared" si="14"/>
        <v>8.6981999999999999</v>
      </c>
      <c r="L216" s="78"/>
      <c r="P216" s="115" t="s">
        <v>39</v>
      </c>
      <c r="Q216" s="127">
        <f>VLOOKUP($P$8,BD_ParticipaciónCiudadana!$A$4:$PX$37,80,FALSE)</f>
        <v>45.8</v>
      </c>
      <c r="R216" s="127">
        <f>VLOOKUP($P$8,BD_ParticipaciónCiudadana!$A$4:$PX$37,63,FALSE)</f>
        <v>39.700000000000003</v>
      </c>
      <c r="S216" s="127">
        <f>VLOOKUP($P$8,BD_ParticipaciónCiudadana!$A$4:$PX$37,46,FALSE)</f>
        <v>41.726419999999997</v>
      </c>
      <c r="T216" s="116">
        <f t="shared" si="15"/>
        <v>6.0999999999999943</v>
      </c>
    </row>
    <row r="217" spans="4:20" x14ac:dyDescent="0.2">
      <c r="D217" s="115" t="s">
        <v>40</v>
      </c>
      <c r="E217" s="127">
        <f>VLOOKUP($D$8,BD_ParticipaciónCiudadana!$A$4:$DX$37,81,FALSE)</f>
        <v>44.592419999999997</v>
      </c>
      <c r="F217" s="127">
        <f>VLOOKUP($D$8,BD_ParticipaciónCiudadana!$A$4:$DX$37,64,FALSE)</f>
        <v>35.961569999999995</v>
      </c>
      <c r="G217" s="127">
        <f>VLOOKUP($D$8,BD_ParticipaciónCiudadana!$A$4:$DX$37,47,FALSE)</f>
        <v>38.287569999999995</v>
      </c>
      <c r="H217" s="116">
        <f t="shared" si="14"/>
        <v>8.6308500000000024</v>
      </c>
      <c r="L217" s="78"/>
      <c r="P217" s="115" t="s">
        <v>40</v>
      </c>
      <c r="Q217" s="127">
        <f>VLOOKUP($P$8,BD_ParticipaciónCiudadana!$A$4:$PX$37,81,FALSE)</f>
        <v>45.2</v>
      </c>
      <c r="R217" s="127">
        <f>VLOOKUP($P$8,BD_ParticipaciónCiudadana!$A$4:$PX$37,64,FALSE)</f>
        <v>36.9</v>
      </c>
      <c r="S217" s="127">
        <f>VLOOKUP($P$8,BD_ParticipaciónCiudadana!$A$4:$PX$37,47,FALSE)</f>
        <v>39.612760000000002</v>
      </c>
      <c r="T217" s="116">
        <f t="shared" si="15"/>
        <v>8.3000000000000043</v>
      </c>
    </row>
    <row r="218" spans="4:20" x14ac:dyDescent="0.2">
      <c r="D218" s="115" t="s">
        <v>41</v>
      </c>
      <c r="E218" s="127">
        <f>VLOOKUP($D$8,BD_ParticipaciónCiudadana!$A$4:$DX$37,82,FALSE)</f>
        <v>46.696649999999998</v>
      </c>
      <c r="F218" s="127">
        <f>VLOOKUP($D$8,BD_ParticipaciónCiudadana!$A$4:$DX$37,65,FALSE)</f>
        <v>38.65737</v>
      </c>
      <c r="G218" s="127">
        <f>VLOOKUP($D$8,BD_ParticipaciónCiudadana!$A$4:$DX$37,48,FALSE)</f>
        <v>40.88138</v>
      </c>
      <c r="H218" s="116">
        <f t="shared" si="14"/>
        <v>8.039279999999998</v>
      </c>
      <c r="L218" s="78"/>
      <c r="P218" s="115" t="s">
        <v>41</v>
      </c>
      <c r="Q218" s="127">
        <f>VLOOKUP($P$8,BD_ParticipaciónCiudadana!$A$4:$PX$37,82,FALSE)</f>
        <v>50.1</v>
      </c>
      <c r="R218" s="127">
        <f>VLOOKUP($P$8,BD_ParticipaciónCiudadana!$A$4:$PX$37,65,FALSE)</f>
        <v>40.1</v>
      </c>
      <c r="S218" s="127">
        <f>VLOOKUP($P$8,BD_ParticipaciónCiudadana!$A$4:$PX$37,48,FALSE)</f>
        <v>43.274210000000004</v>
      </c>
      <c r="T218" s="116">
        <f t="shared" si="15"/>
        <v>10</v>
      </c>
    </row>
    <row r="219" spans="4:20" x14ac:dyDescent="0.2">
      <c r="D219" s="115" t="s">
        <v>42</v>
      </c>
      <c r="E219" s="127">
        <f>VLOOKUP($D$8,BD_ParticipaciónCiudadana!$A$4:$DX$37,83,FALSE)</f>
        <v>52.552100000000003</v>
      </c>
      <c r="F219" s="127">
        <f>VLOOKUP($D$8,BD_ParticipaciónCiudadana!$A$4:$DX$37,66,FALSE)</f>
        <v>41.879040000000003</v>
      </c>
      <c r="G219" s="127">
        <f>VLOOKUP($D$8,BD_ParticipaciónCiudadana!$A$4:$DX$37,49,FALSE)</f>
        <v>44.935629999999996</v>
      </c>
      <c r="H219" s="116">
        <f t="shared" si="14"/>
        <v>10.67306</v>
      </c>
      <c r="L219" s="78"/>
      <c r="P219" s="115" t="s">
        <v>42</v>
      </c>
      <c r="Q219" s="127">
        <f>VLOOKUP($P$8,BD_ParticipaciónCiudadana!$A$4:$PX$37,83,FALSE)</f>
        <v>54.4</v>
      </c>
      <c r="R219" s="127">
        <f>VLOOKUP($P$8,BD_ParticipaciónCiudadana!$A$4:$PX$37,66,FALSE)</f>
        <v>45.1</v>
      </c>
      <c r="S219" s="127">
        <f>VLOOKUP($P$8,BD_ParticipaciónCiudadana!$A$4:$PX$37,49,FALSE)</f>
        <v>48.080950000000001</v>
      </c>
      <c r="T219" s="116">
        <f t="shared" si="15"/>
        <v>9.2999999999999972</v>
      </c>
    </row>
    <row r="220" spans="4:20" x14ac:dyDescent="0.2">
      <c r="D220" s="115" t="s">
        <v>43</v>
      </c>
      <c r="E220" s="127">
        <f>VLOOKUP($D$8,BD_ParticipaciónCiudadana!$A$4:$DX$37,84,FALSE)</f>
        <v>55.368189999999998</v>
      </c>
      <c r="F220" s="127">
        <f>VLOOKUP($D$8,BD_ParticipaciónCiudadana!$A$4:$DX$37,67,FALSE)</f>
        <v>47.726860000000002</v>
      </c>
      <c r="G220" s="127">
        <f>VLOOKUP($D$8,BD_ParticipaciónCiudadana!$A$4:$DX$37,50,FALSE)</f>
        <v>49.880929999999999</v>
      </c>
      <c r="H220" s="116">
        <f t="shared" si="14"/>
        <v>7.6413299999999964</v>
      </c>
      <c r="L220" s="78"/>
      <c r="P220" s="115" t="s">
        <v>43</v>
      </c>
      <c r="Q220" s="127">
        <f>VLOOKUP($P$8,BD_ParticipaciónCiudadana!$A$4:$PX$37,84,FALSE)</f>
        <v>58.6</v>
      </c>
      <c r="R220" s="127">
        <f>VLOOKUP($P$8,BD_ParticipaciónCiudadana!$A$4:$PX$37,67,FALSE)</f>
        <v>50.4</v>
      </c>
      <c r="S220" s="127">
        <f>VLOOKUP($P$8,BD_ParticipaciónCiudadana!$A$4:$PX$37,50,FALSE)</f>
        <v>52.984079999999999</v>
      </c>
      <c r="T220" s="116">
        <f t="shared" si="15"/>
        <v>8.2000000000000028</v>
      </c>
    </row>
    <row r="221" spans="4:20" x14ac:dyDescent="0.2">
      <c r="D221" s="115" t="s">
        <v>44</v>
      </c>
      <c r="E221" s="127">
        <f>VLOOKUP($D$8,BD_ParticipaciónCiudadana!$A$4:$DX$37,85,FALSE)</f>
        <v>59.901470000000003</v>
      </c>
      <c r="F221" s="127">
        <f>VLOOKUP($D$8,BD_ParticipaciónCiudadana!$A$4:$DX$37,68,FALSE)</f>
        <v>53.667980000000007</v>
      </c>
      <c r="G221" s="127">
        <f>VLOOKUP($D$8,BD_ParticipaciónCiudadana!$A$4:$DX$37,51,FALSE)</f>
        <v>55.342690000000005</v>
      </c>
      <c r="H221" s="116">
        <f t="shared" si="14"/>
        <v>6.2334899999999962</v>
      </c>
      <c r="L221" s="78"/>
      <c r="P221" s="115" t="s">
        <v>44</v>
      </c>
      <c r="Q221" s="127">
        <f>VLOOKUP($P$8,BD_ParticipaciónCiudadana!$A$4:$PX$37,85,FALSE)</f>
        <v>61.6</v>
      </c>
      <c r="R221" s="127">
        <f>VLOOKUP($P$8,BD_ParticipaciónCiudadana!$A$4:$PX$37,68,FALSE)</f>
        <v>54.9</v>
      </c>
      <c r="S221" s="127">
        <f>VLOOKUP($P$8,BD_ParticipaciónCiudadana!$A$4:$PX$37,51,FALSE)</f>
        <v>56.900720000000007</v>
      </c>
      <c r="T221" s="116">
        <f t="shared" si="15"/>
        <v>6.7000000000000028</v>
      </c>
    </row>
    <row r="222" spans="4:20" x14ac:dyDescent="0.2">
      <c r="D222" s="115" t="s">
        <v>45</v>
      </c>
      <c r="E222" s="127">
        <f>VLOOKUP($D$8,BD_ParticipaciónCiudadana!$A$4:$DX$37,86,FALSE)</f>
        <v>61.676839999999999</v>
      </c>
      <c r="F222" s="127">
        <f>VLOOKUP($D$8,BD_ParticipaciónCiudadana!$A$4:$DX$37,69,FALSE)</f>
        <v>56.87632</v>
      </c>
      <c r="G222" s="127">
        <f>VLOOKUP($D$8,BD_ParticipaciónCiudadana!$A$4:$DX$37,52,FALSE)</f>
        <v>58.090929999999993</v>
      </c>
      <c r="H222" s="116">
        <f t="shared" si="14"/>
        <v>4.8005199999999988</v>
      </c>
      <c r="L222" s="78"/>
      <c r="P222" s="115" t="s">
        <v>45</v>
      </c>
      <c r="Q222" s="127">
        <f>VLOOKUP($P$8,BD_ParticipaciónCiudadana!$A$4:$PX$37,86,FALSE)</f>
        <v>64.099999999999994</v>
      </c>
      <c r="R222" s="127">
        <f>VLOOKUP($P$8,BD_ParticipaciónCiudadana!$A$4:$PX$37,69,FALSE)</f>
        <v>58.7</v>
      </c>
      <c r="S222" s="127">
        <f>VLOOKUP($P$8,BD_ParticipaciónCiudadana!$A$4:$PX$37,52,FALSE)</f>
        <v>60.303580000000004</v>
      </c>
      <c r="T222" s="116">
        <f t="shared" si="15"/>
        <v>5.3999999999999915</v>
      </c>
    </row>
    <row r="223" spans="4:20" x14ac:dyDescent="0.2">
      <c r="D223" s="115" t="s">
        <v>46</v>
      </c>
      <c r="E223" s="127">
        <f>VLOOKUP($D$8,BD_ParticipaciónCiudadana!$A$4:$DX$37,87,FALSE)</f>
        <v>66.192880000000002</v>
      </c>
      <c r="F223" s="127">
        <f>VLOOKUP($D$8,BD_ParticipaciónCiudadana!$A$4:$DX$37,70,FALSE)</f>
        <v>61.36741</v>
      </c>
      <c r="G223" s="127">
        <f>VLOOKUP($D$8,BD_ParticipaciónCiudadana!$A$4:$DX$37,53,FALSE)</f>
        <v>62.572980000000001</v>
      </c>
      <c r="H223" s="116">
        <f t="shared" si="14"/>
        <v>4.8254700000000028</v>
      </c>
      <c r="L223" s="78"/>
      <c r="P223" s="115" t="s">
        <v>46</v>
      </c>
      <c r="Q223" s="127">
        <f>VLOOKUP($P$8,BD_ParticipaciónCiudadana!$A$4:$PX$37,87,FALSE)</f>
        <v>66</v>
      </c>
      <c r="R223" s="127">
        <f>VLOOKUP($P$8,BD_ParticipaciónCiudadana!$A$4:$PX$37,70,FALSE)</f>
        <v>61.6</v>
      </c>
      <c r="S223" s="127">
        <f>VLOOKUP($P$8,BD_ParticipaciónCiudadana!$A$4:$PX$37,53,FALSE)</f>
        <v>62.90643</v>
      </c>
      <c r="T223" s="116">
        <f t="shared" si="15"/>
        <v>4.3999999999999986</v>
      </c>
    </row>
    <row r="224" spans="4:20" x14ac:dyDescent="0.2">
      <c r="D224" s="115" t="s">
        <v>47</v>
      </c>
      <c r="E224" s="127">
        <f>VLOOKUP($D$8,BD_ParticipaciónCiudadana!$A$4:$DX$37,88,FALSE)</f>
        <v>66.116280000000003</v>
      </c>
      <c r="F224" s="127">
        <f>VLOOKUP($D$8,BD_ParticipaciónCiudadana!$A$4:$DX$37,71,FALSE)</f>
        <v>66.022750000000002</v>
      </c>
      <c r="G224" s="127">
        <f>VLOOKUP($D$8,BD_ParticipaciónCiudadana!$A$4:$DX$37,54,FALSE)</f>
        <v>66.042959999999994</v>
      </c>
      <c r="H224" s="116">
        <f t="shared" si="14"/>
        <v>9.3530000000001223E-2</v>
      </c>
      <c r="L224" s="78"/>
      <c r="P224" s="115" t="s">
        <v>47</v>
      </c>
      <c r="Q224" s="127">
        <f>VLOOKUP($P$8,BD_ParticipaciónCiudadana!$A$4:$PX$37,88,FALSE)</f>
        <v>66.900000000000006</v>
      </c>
      <c r="R224" s="127">
        <f>VLOOKUP($P$8,BD_ParticipaciónCiudadana!$A$4:$PX$37,71,FALSE)</f>
        <v>65.099999999999994</v>
      </c>
      <c r="S224" s="127">
        <f>VLOOKUP($P$8,BD_ParticipaciónCiudadana!$A$4:$PX$37,54,FALSE)</f>
        <v>65.692039999999992</v>
      </c>
      <c r="T224" s="116">
        <f t="shared" si="15"/>
        <v>1.8000000000000114</v>
      </c>
    </row>
    <row r="225" spans="4:20" x14ac:dyDescent="0.2">
      <c r="D225" s="115" t="s">
        <v>48</v>
      </c>
      <c r="E225" s="127">
        <f>VLOOKUP($D$8,BD_ParticipaciónCiudadana!$A$4:$DX$37,89,FALSE)</f>
        <v>67.661829999999995</v>
      </c>
      <c r="F225" s="127">
        <f>VLOOKUP($D$8,BD_ParticipaciónCiudadana!$A$4:$DX$37,72,FALSE)</f>
        <v>69.419589999999999</v>
      </c>
      <c r="G225" s="127">
        <f>VLOOKUP($D$8,BD_ParticipaciónCiudadana!$A$4:$DX$37,55,FALSE)</f>
        <v>69.061430000000001</v>
      </c>
      <c r="H225" s="116">
        <f t="shared" si="14"/>
        <v>-1.7577600000000047</v>
      </c>
      <c r="L225" s="78"/>
      <c r="P225" s="115" t="s">
        <v>48</v>
      </c>
      <c r="Q225" s="127">
        <f>VLOOKUP($P$8,BD_ParticipaciónCiudadana!$A$4:$PX$37,89,FALSE)</f>
        <v>69.2</v>
      </c>
      <c r="R225" s="127">
        <f>VLOOKUP($P$8,BD_ParticipaciónCiudadana!$A$4:$PX$37,72,FALSE)</f>
        <v>68</v>
      </c>
      <c r="S225" s="127">
        <f>VLOOKUP($P$8,BD_ParticipaciónCiudadana!$A$4:$PX$37,55,FALSE)</f>
        <v>68.405439999999999</v>
      </c>
      <c r="T225" s="116">
        <f t="shared" si="15"/>
        <v>1.2000000000000028</v>
      </c>
    </row>
    <row r="226" spans="4:20" x14ac:dyDescent="0.2">
      <c r="D226" s="115" t="s">
        <v>49</v>
      </c>
      <c r="E226" s="127">
        <f>VLOOKUP($D$8,BD_ParticipaciónCiudadana!$A$4:$DX$37,90,FALSE)</f>
        <v>69.792360000000002</v>
      </c>
      <c r="F226" s="127">
        <f>VLOOKUP($D$8,BD_ParticipaciónCiudadana!$A$4:$DX$37,73,FALSE)</f>
        <v>68.511870000000002</v>
      </c>
      <c r="G226" s="127">
        <f>VLOOKUP($D$8,BD_ParticipaciónCiudadana!$A$4:$DX$37,56,FALSE)</f>
        <v>68.780540000000002</v>
      </c>
      <c r="H226" s="116">
        <f t="shared" si="14"/>
        <v>1.2804900000000004</v>
      </c>
      <c r="L226" s="78"/>
      <c r="P226" s="115" t="s">
        <v>49</v>
      </c>
      <c r="Q226" s="127">
        <f>VLOOKUP($P$8,BD_ParticipaciónCiudadana!$A$4:$PX$37,90,FALSE)</f>
        <v>68.3</v>
      </c>
      <c r="R226" s="127">
        <f>VLOOKUP($P$8,BD_ParticipaciónCiudadana!$A$4:$PX$37,73,FALSE)</f>
        <v>67.2</v>
      </c>
      <c r="S226" s="127">
        <f>VLOOKUP($P$8,BD_ParticipaciónCiudadana!$A$4:$PX$37,56,FALSE)</f>
        <v>67.618359999999996</v>
      </c>
      <c r="T226" s="116">
        <f t="shared" si="15"/>
        <v>1.0999999999999943</v>
      </c>
    </row>
    <row r="227" spans="4:20" x14ac:dyDescent="0.2">
      <c r="D227" s="115" t="s">
        <v>50</v>
      </c>
      <c r="E227" s="127">
        <f>VLOOKUP($D$8,BD_ParticipaciónCiudadana!$A$4:$DX$37,91,FALSE)</f>
        <v>64.592259999999996</v>
      </c>
      <c r="F227" s="127">
        <f>VLOOKUP($D$8,BD_ParticipaciónCiudadana!$A$4:$DX$37,74,FALSE)</f>
        <v>62.626040000000003</v>
      </c>
      <c r="G227" s="127">
        <f>VLOOKUP($D$8,BD_ParticipaciónCiudadana!$A$4:$DX$37,57,FALSE)</f>
        <v>63.077640000000002</v>
      </c>
      <c r="H227" s="116">
        <f t="shared" si="14"/>
        <v>1.9662199999999928</v>
      </c>
      <c r="L227" s="78"/>
      <c r="P227" s="115" t="s">
        <v>50</v>
      </c>
      <c r="Q227" s="127">
        <f>VLOOKUP($P$8,BD_ParticipaciónCiudadana!$A$4:$PX$37,91,FALSE)</f>
        <v>63.6</v>
      </c>
      <c r="R227" s="127">
        <f>VLOOKUP($P$8,BD_ParticipaciónCiudadana!$A$4:$PX$37,74,FALSE)</f>
        <v>62.5</v>
      </c>
      <c r="S227" s="127">
        <f>VLOOKUP($P$8,BD_ParticipaciónCiudadana!$A$4:$PX$37,57,FALSE)</f>
        <v>62.918819999999997</v>
      </c>
      <c r="T227" s="116">
        <f t="shared" si="15"/>
        <v>1.1000000000000014</v>
      </c>
    </row>
    <row r="228" spans="4:20" x14ac:dyDescent="0.2">
      <c r="D228" s="115" t="s">
        <v>51</v>
      </c>
      <c r="E228" s="127">
        <f>VLOOKUP($D$8,BD_ParticipaciónCiudadana!$A$4:$DX$37,92,FALSE)</f>
        <v>57.509140000000002</v>
      </c>
      <c r="F228" s="127">
        <f>VLOOKUP($D$8,BD_ParticipaciónCiudadana!$A$4:$DX$37,75,FALSE)</f>
        <v>55.062560000000005</v>
      </c>
      <c r="G228" s="127">
        <f>VLOOKUP($D$8,BD_ParticipaciónCiudadana!$A$4:$DX$37,58,FALSE)</f>
        <v>55.5839</v>
      </c>
      <c r="H228" s="116">
        <f t="shared" si="14"/>
        <v>2.4465799999999973</v>
      </c>
      <c r="L228" s="78"/>
      <c r="P228" s="115" t="s">
        <v>51</v>
      </c>
      <c r="Q228" s="127">
        <f>VLOOKUP($P$8,BD_ParticipaciónCiudadana!$A$4:$PX$37,92,FALSE)</f>
        <v>54.9</v>
      </c>
      <c r="R228" s="127">
        <f>VLOOKUP($P$8,BD_ParticipaciónCiudadana!$A$4:$PX$37,75,FALSE)</f>
        <v>53.7</v>
      </c>
      <c r="S228" s="127">
        <f>VLOOKUP($P$8,BD_ParticipaciónCiudadana!$A$4:$PX$37,58,FALSE)</f>
        <v>54.135330000000003</v>
      </c>
      <c r="T228" s="116">
        <f t="shared" si="15"/>
        <v>1.1999999999999957</v>
      </c>
    </row>
    <row r="229" spans="4:20" x14ac:dyDescent="0.2">
      <c r="D229" s="115" t="s">
        <v>52</v>
      </c>
      <c r="E229" s="127">
        <f>VLOOKUP($D$8,BD_ParticipaciónCiudadana!$A$4:$DX$37,93,FALSE)</f>
        <v>48.213250000000002</v>
      </c>
      <c r="F229" s="127">
        <f>VLOOKUP($D$8,BD_ParticipaciónCiudadana!$A$4:$DX$37,76,FALSE)</f>
        <v>37.04318</v>
      </c>
      <c r="G229" s="127">
        <f>VLOOKUP($D$8,BD_ParticipaciónCiudadana!$A$4:$DX$37,59,FALSE)</f>
        <v>39.428789999999999</v>
      </c>
      <c r="H229" s="116">
        <f t="shared" si="14"/>
        <v>11.170070000000003</v>
      </c>
      <c r="L229" s="78"/>
      <c r="P229" s="115" t="s">
        <v>52</v>
      </c>
      <c r="Q229" s="127">
        <f>VLOOKUP($P$8,BD_ParticipaciónCiudadana!$A$4:$PX$37,93,FALSE)</f>
        <v>36.799999999999997</v>
      </c>
      <c r="R229" s="127">
        <f>VLOOKUP($P$8,BD_ParticipaciónCiudadana!$A$4:$PX$37,76,FALSE)</f>
        <v>35.4</v>
      </c>
      <c r="S229" s="127">
        <f>VLOOKUP($P$8,BD_ParticipaciónCiudadana!$A$4:$PX$37,59,FALSE)</f>
        <v>35.916110000000003</v>
      </c>
      <c r="T229" s="116">
        <f t="shared" si="15"/>
        <v>1.3999999999999986</v>
      </c>
    </row>
    <row r="230" spans="4:20" ht="10.8" thickBot="1" x14ac:dyDescent="0.25">
      <c r="D230" s="117"/>
      <c r="E230" s="117"/>
      <c r="F230" s="117"/>
      <c r="G230" s="117"/>
      <c r="H230" s="117"/>
      <c r="L230" s="78"/>
      <c r="P230" s="117"/>
      <c r="Q230" s="117"/>
      <c r="R230" s="117"/>
      <c r="S230" s="117"/>
      <c r="T230" s="117"/>
    </row>
    <row r="231" spans="4:20" x14ac:dyDescent="0.2">
      <c r="D231" s="124"/>
      <c r="E231" s="124"/>
      <c r="F231" s="124"/>
      <c r="G231" s="124"/>
      <c r="H231" s="124"/>
      <c r="L231" s="78"/>
      <c r="P231" s="124"/>
      <c r="Q231" s="124"/>
      <c r="R231" s="124"/>
      <c r="S231" s="124"/>
      <c r="T231" s="124"/>
    </row>
    <row r="232" spans="4:20" x14ac:dyDescent="0.2">
      <c r="L232" s="78"/>
    </row>
    <row r="233" spans="4:20" x14ac:dyDescent="0.2">
      <c r="L233" s="78"/>
    </row>
    <row r="234" spans="4:20" x14ac:dyDescent="0.2">
      <c r="L234" s="78"/>
    </row>
    <row r="235" spans="4:20" x14ac:dyDescent="0.2">
      <c r="L235" s="78"/>
    </row>
    <row r="236" spans="4:20" x14ac:dyDescent="0.2">
      <c r="L236" s="78"/>
    </row>
    <row r="237" spans="4:20" x14ac:dyDescent="0.2">
      <c r="L237" s="78"/>
    </row>
    <row r="238" spans="4:20" x14ac:dyDescent="0.2">
      <c r="L238" s="78"/>
    </row>
    <row r="239" spans="4:20" x14ac:dyDescent="0.2">
      <c r="L239" s="78"/>
    </row>
    <row r="240" spans="4:20" x14ac:dyDescent="0.2">
      <c r="L240" s="78"/>
    </row>
    <row r="241" spans="2:22" x14ac:dyDescent="0.2">
      <c r="L241" s="78"/>
    </row>
    <row r="242" spans="2:22" x14ac:dyDescent="0.2">
      <c r="L242" s="78"/>
    </row>
    <row r="243" spans="2:22" x14ac:dyDescent="0.2">
      <c r="L243" s="78"/>
    </row>
    <row r="244" spans="2:22" x14ac:dyDescent="0.2">
      <c r="L244" s="78"/>
    </row>
    <row r="245" spans="2:22" x14ac:dyDescent="0.2">
      <c r="L245" s="78"/>
    </row>
    <row r="246" spans="2:22" x14ac:dyDescent="0.2">
      <c r="L246" s="78"/>
    </row>
    <row r="247" spans="2:22" x14ac:dyDescent="0.2">
      <c r="L247" s="78"/>
    </row>
    <row r="248" spans="2:22" x14ac:dyDescent="0.2">
      <c r="L248" s="78"/>
    </row>
    <row r="249" spans="2:22" x14ac:dyDescent="0.2">
      <c r="L249" s="78"/>
    </row>
    <row r="250" spans="2:22" x14ac:dyDescent="0.2">
      <c r="L250" s="78"/>
    </row>
    <row r="251" spans="2:22" x14ac:dyDescent="0.2">
      <c r="L251" s="78"/>
    </row>
    <row r="252" spans="2:22" x14ac:dyDescent="0.2">
      <c r="L252" s="78"/>
    </row>
    <row r="253" spans="2:22" x14ac:dyDescent="0.2">
      <c r="L253" s="78"/>
    </row>
    <row r="254" spans="2:22" x14ac:dyDescent="0.2">
      <c r="L254" s="78"/>
    </row>
    <row r="255" spans="2:22" ht="26.4" customHeight="1" x14ac:dyDescent="0.2">
      <c r="B255" s="158" t="s">
        <v>389</v>
      </c>
      <c r="C255" s="158"/>
      <c r="D255" s="158"/>
      <c r="E255" s="158"/>
      <c r="F255" s="158"/>
      <c r="G255" s="158"/>
      <c r="H255" s="158"/>
      <c r="I255" s="158"/>
      <c r="J255" s="158"/>
      <c r="L255" s="78"/>
      <c r="N255" s="158" t="s">
        <v>389</v>
      </c>
      <c r="O255" s="158"/>
      <c r="P255" s="158"/>
      <c r="Q255" s="158"/>
      <c r="R255" s="158"/>
      <c r="S255" s="158"/>
      <c r="T255" s="158"/>
      <c r="U255" s="158"/>
      <c r="V255" s="158"/>
    </row>
    <row r="256" spans="2:22" x14ac:dyDescent="0.2">
      <c r="L256" s="78"/>
    </row>
    <row r="257" spans="1:20" x14ac:dyDescent="0.2">
      <c r="L257" s="78"/>
    </row>
    <row r="258" spans="1:20" x14ac:dyDescent="0.2">
      <c r="L258" s="78"/>
    </row>
    <row r="259" spans="1:20" x14ac:dyDescent="0.2">
      <c r="L259" s="78"/>
    </row>
    <row r="260" spans="1:20" x14ac:dyDescent="0.2">
      <c r="L260" s="78"/>
    </row>
    <row r="261" spans="1:20" x14ac:dyDescent="0.2">
      <c r="L261" s="78"/>
    </row>
    <row r="262" spans="1:20" x14ac:dyDescent="0.2">
      <c r="L262" s="78"/>
    </row>
    <row r="263" spans="1:20" x14ac:dyDescent="0.2">
      <c r="L263" s="78"/>
    </row>
    <row r="264" spans="1:20" ht="10.8" thickBot="1" x14ac:dyDescent="0.25">
      <c r="A264" s="83"/>
      <c r="B264" s="164"/>
      <c r="C264" s="164"/>
      <c r="D264" s="83"/>
      <c r="E264" s="83"/>
      <c r="F264" s="83"/>
      <c r="G264" s="83"/>
      <c r="H264" s="83"/>
      <c r="I264" s="83"/>
      <c r="J264" s="83"/>
      <c r="K264" s="83"/>
      <c r="L264" s="84"/>
      <c r="M264" s="83"/>
      <c r="N264" s="96"/>
      <c r="O264" s="96"/>
      <c r="P264" s="83"/>
      <c r="Q264" s="83"/>
      <c r="R264" s="83"/>
      <c r="S264" s="83"/>
      <c r="T264" s="83"/>
    </row>
    <row r="265" spans="1:20" ht="10.8" thickBot="1" x14ac:dyDescent="0.25">
      <c r="L265" s="78"/>
    </row>
    <row r="266" spans="1:20" s="18" customFormat="1" ht="20.399999999999999" x14ac:dyDescent="0.2">
      <c r="A266" s="97"/>
      <c r="B266" s="129" t="s">
        <v>58</v>
      </c>
      <c r="C266" s="165" t="s">
        <v>119</v>
      </c>
      <c r="D266" s="165"/>
      <c r="E266" s="165"/>
      <c r="F266" s="129" t="s">
        <v>168</v>
      </c>
      <c r="G266" s="129" t="s">
        <v>343</v>
      </c>
      <c r="H266" s="129" t="s">
        <v>344</v>
      </c>
      <c r="I266" s="130"/>
      <c r="L266" s="128"/>
      <c r="N266" s="129" t="s">
        <v>58</v>
      </c>
      <c r="O266" s="165" t="s">
        <v>119</v>
      </c>
      <c r="P266" s="165"/>
      <c r="Q266" s="165"/>
      <c r="R266" s="129" t="s">
        <v>168</v>
      </c>
      <c r="S266" s="129" t="s">
        <v>343</v>
      </c>
      <c r="T266" s="129" t="s">
        <v>344</v>
      </c>
    </row>
    <row r="267" spans="1:20" s="18" customFormat="1" x14ac:dyDescent="0.2">
      <c r="A267" s="97"/>
      <c r="B267" s="97"/>
      <c r="C267" s="97"/>
      <c r="F267" s="97"/>
      <c r="G267" s="97"/>
      <c r="H267" s="97"/>
      <c r="I267" s="97"/>
      <c r="L267" s="128"/>
      <c r="N267" s="97"/>
      <c r="O267" s="97"/>
      <c r="R267" s="97"/>
      <c r="S267" s="97"/>
      <c r="T267" s="97"/>
    </row>
    <row r="268" spans="1:20" x14ac:dyDescent="0.2">
      <c r="B268" s="158" t="s">
        <v>121</v>
      </c>
      <c r="C268" s="158" t="s">
        <v>133</v>
      </c>
      <c r="D268" s="158"/>
      <c r="E268" s="158"/>
      <c r="F268" s="97">
        <v>2020</v>
      </c>
      <c r="G268" s="127">
        <f>VLOOKUP($D$8,BD_Indicadores!$A$4:$DY$38,3,FALSE)</f>
        <v>68.400000000000006</v>
      </c>
      <c r="H268" s="149">
        <f>VLOOKUP($D$8,BD_Indicadores!$A$4:$DY$38,39,FALSE)</f>
        <v>8</v>
      </c>
      <c r="J268" s="97"/>
      <c r="L268" s="78"/>
      <c r="N268" s="158" t="s">
        <v>121</v>
      </c>
      <c r="O268" s="158" t="s">
        <v>133</v>
      </c>
      <c r="P268" s="158"/>
      <c r="Q268" s="158"/>
      <c r="R268" s="97">
        <v>2020</v>
      </c>
      <c r="S268" s="127">
        <f>VLOOKUP($P$8,BD_Indicadores!$A$4:$PY$38,3,FALSE)</f>
        <v>60.1</v>
      </c>
      <c r="T268" s="149">
        <f>VLOOKUP($P$8,BD_Indicadores!$A$4:$DY$38,39,FALSE)</f>
        <v>0</v>
      </c>
    </row>
    <row r="269" spans="1:20" x14ac:dyDescent="0.2">
      <c r="B269" s="158"/>
      <c r="C269" s="158" t="s">
        <v>134</v>
      </c>
      <c r="D269" s="158"/>
      <c r="E269" s="158"/>
      <c r="F269" s="97">
        <v>2020</v>
      </c>
      <c r="G269" s="127">
        <f>VLOOKUP($D$8,BD_Indicadores!$A$4:$DY$38,4,FALSE)</f>
        <v>79.8</v>
      </c>
      <c r="H269" s="149">
        <f>VLOOKUP($D$8,BD_Indicadores!$A$4:$DY$38,40,FALSE)</f>
        <v>8</v>
      </c>
      <c r="J269" s="97"/>
      <c r="L269" s="78"/>
      <c r="N269" s="158"/>
      <c r="O269" s="158" t="s">
        <v>134</v>
      </c>
      <c r="P269" s="158"/>
      <c r="Q269" s="158"/>
      <c r="R269" s="97">
        <v>2020</v>
      </c>
      <c r="S269" s="127">
        <f>VLOOKUP($P$8,BD_Indicadores!$A$4:$PY$38,4,FALSE)</f>
        <v>71.8</v>
      </c>
      <c r="T269" s="149">
        <f>VLOOKUP($P$8,BD_Indicadores!$A$4:$DY$38,40,FALSE)</f>
        <v>0</v>
      </c>
    </row>
    <row r="270" spans="1:20" ht="19.2" customHeight="1" x14ac:dyDescent="0.2">
      <c r="B270" s="158"/>
      <c r="C270" s="158" t="s">
        <v>135</v>
      </c>
      <c r="D270" s="158"/>
      <c r="E270" s="158"/>
      <c r="F270" s="97">
        <v>2020</v>
      </c>
      <c r="G270" s="127">
        <f>VLOOKUP($D$8,BD_Indicadores!$A$4:$DY$38,5,FALSE)</f>
        <v>98.8</v>
      </c>
      <c r="H270" s="149">
        <f>VLOOKUP($D$8,BD_Indicadores!$A$4:$DY$38,41,FALSE)</f>
        <v>1</v>
      </c>
      <c r="J270" s="97"/>
      <c r="L270" s="78"/>
      <c r="N270" s="158"/>
      <c r="O270" s="158" t="s">
        <v>135</v>
      </c>
      <c r="P270" s="158"/>
      <c r="Q270" s="158"/>
      <c r="R270" s="97">
        <v>2020</v>
      </c>
      <c r="S270" s="127">
        <f>VLOOKUP($P$8,BD_Indicadores!$A$4:$PY$38,5,FALSE)</f>
        <v>90.6</v>
      </c>
      <c r="T270" s="149">
        <f>VLOOKUP($P$8,BD_Indicadores!$A$4:$DY$38,41,FALSE)</f>
        <v>0</v>
      </c>
    </row>
    <row r="271" spans="1:20" x14ac:dyDescent="0.2">
      <c r="B271" s="130"/>
      <c r="C271" s="130"/>
      <c r="D271" s="130"/>
      <c r="E271" s="18"/>
      <c r="F271" s="97"/>
      <c r="G271" s="127"/>
      <c r="H271" s="149"/>
      <c r="J271" s="97"/>
      <c r="L271" s="78"/>
      <c r="N271" s="130"/>
      <c r="O271" s="130"/>
      <c r="P271" s="130"/>
      <c r="Q271" s="18"/>
      <c r="R271" s="97"/>
      <c r="S271" s="127"/>
      <c r="T271" s="149"/>
    </row>
    <row r="272" spans="1:20" x14ac:dyDescent="0.2">
      <c r="B272" s="158" t="s">
        <v>122</v>
      </c>
      <c r="C272" s="158" t="s">
        <v>136</v>
      </c>
      <c r="D272" s="158"/>
      <c r="E272" s="158"/>
      <c r="F272" s="97">
        <v>2021</v>
      </c>
      <c r="G272" s="127">
        <f>VLOOKUP($D$8,BD_Indicadores!$A$4:$DY$38,6,FALSE)</f>
        <v>3</v>
      </c>
      <c r="H272" s="149">
        <f>VLOOKUP($D$8,BD_Indicadores!$A$4:$DY$38,42,FALSE)</f>
        <v>24</v>
      </c>
      <c r="J272" s="97"/>
      <c r="L272" s="78"/>
      <c r="N272" s="158" t="s">
        <v>122</v>
      </c>
      <c r="O272" s="158" t="s">
        <v>136</v>
      </c>
      <c r="P272" s="158"/>
      <c r="Q272" s="158"/>
      <c r="R272" s="97">
        <v>2021</v>
      </c>
      <c r="S272" s="127">
        <f>VLOOKUP($P$8,BD_Indicadores!$A$4:$PY$38,6,FALSE)</f>
        <v>4</v>
      </c>
      <c r="T272" s="149">
        <f>VLOOKUP($P$8,BD_Indicadores!$A$4:$DY$38,42,FALSE)</f>
        <v>0</v>
      </c>
    </row>
    <row r="273" spans="2:20" x14ac:dyDescent="0.2">
      <c r="B273" s="158"/>
      <c r="C273" s="158" t="s">
        <v>137</v>
      </c>
      <c r="D273" s="158"/>
      <c r="E273" s="158"/>
      <c r="F273" s="97">
        <v>2021</v>
      </c>
      <c r="G273" s="127">
        <f>VLOOKUP($D$8,BD_Indicadores!$A$4:$DY$38,7,FALSE)</f>
        <v>50.5</v>
      </c>
      <c r="H273" s="149">
        <f>VLOOKUP($D$8,BD_Indicadores!$A$4:$DY$38,43,FALSE)</f>
        <v>21</v>
      </c>
      <c r="J273" s="97"/>
      <c r="L273" s="78"/>
      <c r="N273" s="158"/>
      <c r="O273" s="158" t="s">
        <v>137</v>
      </c>
      <c r="P273" s="158"/>
      <c r="Q273" s="158"/>
      <c r="R273" s="97">
        <v>2021</v>
      </c>
      <c r="S273" s="127">
        <f>VLOOKUP($P$8,BD_Indicadores!$A$4:$PY$38,7,FALSE)</f>
        <v>52.7</v>
      </c>
      <c r="T273" s="149">
        <f>VLOOKUP($P$8,BD_Indicadores!$A$4:$DY$38,43,FALSE)</f>
        <v>0</v>
      </c>
    </row>
    <row r="274" spans="2:20" ht="22.8" customHeight="1" x14ac:dyDescent="0.2">
      <c r="B274" s="158"/>
      <c r="C274" s="158" t="s">
        <v>138</v>
      </c>
      <c r="D274" s="158"/>
      <c r="E274" s="158"/>
      <c r="F274" s="97">
        <v>2021</v>
      </c>
      <c r="G274" s="127">
        <f>VLOOKUP($D$8,BD_Indicadores!$A$4:$DY$38,8,FALSE)</f>
        <v>36.6</v>
      </c>
      <c r="H274" s="149">
        <f>VLOOKUP($D$8,BD_Indicadores!$A$4:$DY$38,44,FALSE)</f>
        <v>8</v>
      </c>
      <c r="J274" s="97"/>
      <c r="L274" s="78"/>
      <c r="N274" s="158"/>
      <c r="O274" s="158" t="s">
        <v>138</v>
      </c>
      <c r="P274" s="158"/>
      <c r="Q274" s="158"/>
      <c r="R274" s="97">
        <v>2021</v>
      </c>
      <c r="S274" s="127">
        <f>VLOOKUP($P$8,BD_Indicadores!$A$4:$PY$38,8,FALSE)</f>
        <v>29.4</v>
      </c>
      <c r="T274" s="149">
        <f>VLOOKUP($P$8,BD_Indicadores!$A$4:$DY$38,44,FALSE)</f>
        <v>0</v>
      </c>
    </row>
    <row r="275" spans="2:20" ht="12.6" customHeight="1" x14ac:dyDescent="0.2">
      <c r="B275" s="158"/>
      <c r="C275" s="158" t="s">
        <v>139</v>
      </c>
      <c r="D275" s="158"/>
      <c r="E275" s="158"/>
      <c r="F275" s="97">
        <v>2021</v>
      </c>
      <c r="G275" s="127">
        <f>VLOOKUP($D$8,BD_Indicadores!$A$4:$DY$38,9,FALSE)</f>
        <v>63.6</v>
      </c>
      <c r="H275" s="149">
        <f>VLOOKUP($D$8,BD_Indicadores!$A$4:$DY$38,45,FALSE)</f>
        <v>14</v>
      </c>
      <c r="J275" s="97"/>
      <c r="L275" s="78"/>
      <c r="N275" s="158"/>
      <c r="O275" s="158" t="s">
        <v>139</v>
      </c>
      <c r="P275" s="158"/>
      <c r="Q275" s="158"/>
      <c r="R275" s="97">
        <v>2021</v>
      </c>
      <c r="S275" s="127">
        <f>VLOOKUP($P$8,BD_Indicadores!$A$4:$PY$38,9,FALSE)</f>
        <v>60</v>
      </c>
      <c r="T275" s="149">
        <f>VLOOKUP($P$8,BD_Indicadores!$A$4:$DY$38,45,FALSE)</f>
        <v>0</v>
      </c>
    </row>
    <row r="276" spans="2:20" x14ac:dyDescent="0.2">
      <c r="B276" s="130"/>
      <c r="C276" s="130"/>
      <c r="D276" s="130"/>
      <c r="E276" s="18"/>
      <c r="F276" s="97"/>
      <c r="G276" s="127"/>
      <c r="H276" s="149"/>
      <c r="J276" s="97"/>
      <c r="L276" s="78"/>
      <c r="N276" s="130"/>
      <c r="O276" s="130"/>
      <c r="P276" s="130"/>
      <c r="Q276" s="18"/>
      <c r="R276" s="97"/>
      <c r="S276" s="127"/>
      <c r="T276" s="149"/>
    </row>
    <row r="277" spans="2:20" ht="30.6" x14ac:dyDescent="0.2">
      <c r="B277" s="130" t="s">
        <v>123</v>
      </c>
      <c r="C277" s="158" t="s">
        <v>140</v>
      </c>
      <c r="D277" s="158"/>
      <c r="E277" s="158"/>
      <c r="F277" s="97">
        <v>2021</v>
      </c>
      <c r="G277" s="127">
        <f>VLOOKUP($D$8,BD_Indicadores!$A$4:$DY$38,10,FALSE)</f>
        <v>71.900000000000006</v>
      </c>
      <c r="H277" s="149">
        <f>VLOOKUP($D$8,BD_Indicadores!$A$4:$DY$38,46,FALSE)</f>
        <v>23</v>
      </c>
      <c r="J277" s="97"/>
      <c r="L277" s="78"/>
      <c r="N277" s="130" t="s">
        <v>123</v>
      </c>
      <c r="O277" s="158" t="s">
        <v>140</v>
      </c>
      <c r="P277" s="158"/>
      <c r="Q277" s="158"/>
      <c r="R277" s="97">
        <v>2021</v>
      </c>
      <c r="S277" s="127">
        <f>VLOOKUP($P$8,BD_Indicadores!$A$4:$PY$38,10,FALSE)</f>
        <v>72.2</v>
      </c>
      <c r="T277" s="149">
        <f>VLOOKUP($P$8,BD_Indicadores!$A$4:$DY$38,46,FALSE)</f>
        <v>0</v>
      </c>
    </row>
    <row r="278" spans="2:20" x14ac:dyDescent="0.2">
      <c r="B278" s="130"/>
      <c r="C278" s="130"/>
      <c r="D278" s="130"/>
      <c r="E278" s="18"/>
      <c r="F278" s="97"/>
      <c r="G278" s="127"/>
      <c r="H278" s="149"/>
      <c r="J278" s="97"/>
      <c r="L278" s="78"/>
      <c r="N278" s="130"/>
      <c r="O278" s="130"/>
      <c r="P278" s="130"/>
      <c r="Q278" s="18"/>
      <c r="R278" s="97"/>
      <c r="S278" s="127"/>
      <c r="T278" s="149"/>
    </row>
    <row r="279" spans="2:20" x14ac:dyDescent="0.2">
      <c r="B279" s="158" t="s">
        <v>124</v>
      </c>
      <c r="C279" s="158" t="s">
        <v>141</v>
      </c>
      <c r="D279" s="158"/>
      <c r="E279" s="158"/>
      <c r="F279" s="97">
        <v>2022</v>
      </c>
      <c r="G279" s="127">
        <f>VLOOKUP($D$8,BD_Indicadores!$A$4:$DY$38,11,FALSE)</f>
        <v>76.2</v>
      </c>
      <c r="H279" s="149">
        <f>VLOOKUP($D$8,BD_Indicadores!$A$4:$DY$38,47,FALSE)</f>
        <v>2</v>
      </c>
      <c r="J279" s="97"/>
      <c r="L279" s="78"/>
      <c r="N279" s="158" t="s">
        <v>124</v>
      </c>
      <c r="O279" s="158" t="s">
        <v>141</v>
      </c>
      <c r="P279" s="158"/>
      <c r="Q279" s="158"/>
      <c r="R279" s="97">
        <v>2022</v>
      </c>
      <c r="S279" s="127">
        <f>VLOOKUP($P$8,BD_Indicadores!$A$4:$PY$38,11,FALSE)</f>
        <v>75.5</v>
      </c>
      <c r="T279" s="149">
        <f>VLOOKUP($P$8,BD_Indicadores!$A$4:$DY$38,47,FALSE)</f>
        <v>0</v>
      </c>
    </row>
    <row r="280" spans="2:20" x14ac:dyDescent="0.2">
      <c r="B280" s="158"/>
      <c r="C280" s="158" t="s">
        <v>142</v>
      </c>
      <c r="D280" s="158"/>
      <c r="E280" s="158"/>
      <c r="F280" s="97">
        <v>2021</v>
      </c>
      <c r="G280" s="127">
        <f>VLOOKUP($D$8,BD_Indicadores!$A$4:$DY$38,12,FALSE)</f>
        <v>8.5</v>
      </c>
      <c r="H280" s="149">
        <f>VLOOKUP($D$8,BD_Indicadores!$A$4:$DY$38,48,FALSE)</f>
        <v>7</v>
      </c>
      <c r="J280" s="97"/>
      <c r="L280" s="78"/>
      <c r="N280" s="158"/>
      <c r="O280" s="158" t="s">
        <v>142</v>
      </c>
      <c r="P280" s="158"/>
      <c r="Q280" s="158"/>
      <c r="R280" s="97">
        <v>2021</v>
      </c>
      <c r="S280" s="127">
        <f>VLOOKUP($P$8,BD_Indicadores!$A$4:$PY$38,12,FALSE)</f>
        <v>8.3000000000000007</v>
      </c>
      <c r="T280" s="149">
        <f>VLOOKUP($P$8,BD_Indicadores!$A$4:$DY$38,48,FALSE)</f>
        <v>0</v>
      </c>
    </row>
    <row r="281" spans="2:20" x14ac:dyDescent="0.2">
      <c r="B281" s="158"/>
      <c r="C281" s="158" t="s">
        <v>143</v>
      </c>
      <c r="D281" s="158"/>
      <c r="E281" s="158"/>
      <c r="F281" s="97">
        <v>2018</v>
      </c>
      <c r="G281" s="127">
        <f>VLOOKUP($D$8,BD_Indicadores!$A$4:$DY$38,13,FALSE)</f>
        <v>32.6</v>
      </c>
      <c r="H281" s="149">
        <f>VLOOKUP($D$8,BD_Indicadores!$A$4:$DY$38,49,FALSE)</f>
        <v>24</v>
      </c>
      <c r="J281" s="97"/>
      <c r="L281" s="78"/>
      <c r="N281" s="158"/>
      <c r="O281" s="158" t="s">
        <v>143</v>
      </c>
      <c r="P281" s="158"/>
      <c r="Q281" s="158"/>
      <c r="R281" s="97">
        <v>2018</v>
      </c>
      <c r="S281" s="127">
        <f>VLOOKUP($P$8,BD_Indicadores!$A$4:$PY$38,13,FALSE)</f>
        <v>36.1</v>
      </c>
      <c r="T281" s="149">
        <f>VLOOKUP($P$8,BD_Indicadores!$A$4:$DY$38,49,FALSE)</f>
        <v>0</v>
      </c>
    </row>
    <row r="282" spans="2:20" x14ac:dyDescent="0.2">
      <c r="B282" s="158"/>
      <c r="C282" s="158" t="s">
        <v>144</v>
      </c>
      <c r="D282" s="158"/>
      <c r="E282" s="158"/>
      <c r="F282" s="97">
        <v>2020</v>
      </c>
      <c r="G282" s="127">
        <f>VLOOKUP($D$8,BD_Indicadores!$A$4:$DY$38,14,FALSE)</f>
        <v>10.9</v>
      </c>
      <c r="H282" s="149">
        <f>VLOOKUP($D$8,BD_Indicadores!$A$4:$DY$38,50,FALSE)</f>
        <v>17</v>
      </c>
      <c r="J282" s="97"/>
      <c r="L282" s="78"/>
      <c r="N282" s="158"/>
      <c r="O282" s="158" t="s">
        <v>144</v>
      </c>
      <c r="P282" s="158"/>
      <c r="Q282" s="158"/>
      <c r="R282" s="97">
        <v>2020</v>
      </c>
      <c r="S282" s="127">
        <f>VLOOKUP($P$8,BD_Indicadores!$A$4:$PY$38,14,FALSE)</f>
        <v>11.1</v>
      </c>
      <c r="T282" s="149">
        <f>VLOOKUP($P$8,BD_Indicadores!$A$4:$DY$38,50,FALSE)</f>
        <v>0</v>
      </c>
    </row>
    <row r="283" spans="2:20" ht="21.6" customHeight="1" x14ac:dyDescent="0.2">
      <c r="B283" s="158"/>
      <c r="C283" s="158" t="s">
        <v>145</v>
      </c>
      <c r="D283" s="158"/>
      <c r="E283" s="158"/>
      <c r="F283" s="97">
        <v>2020</v>
      </c>
      <c r="G283" s="127">
        <f>VLOOKUP($D$8,BD_Indicadores!$A$4:$DY$38,15,FALSE)</f>
        <v>69.2</v>
      </c>
      <c r="H283" s="149">
        <f>VLOOKUP($D$8,BD_Indicadores!$A$4:$DY$38,51,FALSE)</f>
        <v>9</v>
      </c>
      <c r="J283" s="97"/>
      <c r="L283" s="78"/>
      <c r="N283" s="158"/>
      <c r="O283" s="158" t="s">
        <v>145</v>
      </c>
      <c r="P283" s="158"/>
      <c r="Q283" s="158"/>
      <c r="R283" s="97">
        <v>2020</v>
      </c>
      <c r="S283" s="127">
        <f>VLOOKUP($P$8,BD_Indicadores!$A$4:$PY$38,15,FALSE)</f>
        <v>58</v>
      </c>
      <c r="T283" s="149">
        <f>VLOOKUP($P$8,BD_Indicadores!$A$4:$DY$38,51,FALSE)</f>
        <v>0</v>
      </c>
    </row>
    <row r="284" spans="2:20" x14ac:dyDescent="0.2">
      <c r="B284" s="130"/>
      <c r="C284" s="130"/>
      <c r="D284" s="130"/>
      <c r="E284" s="18"/>
      <c r="F284" s="97"/>
      <c r="G284" s="127"/>
      <c r="H284" s="149"/>
      <c r="J284" s="97"/>
      <c r="L284" s="78"/>
      <c r="N284" s="130"/>
      <c r="O284" s="130"/>
      <c r="P284" s="130"/>
      <c r="Q284" s="18"/>
      <c r="R284" s="97"/>
      <c r="S284" s="127"/>
      <c r="T284" s="149"/>
    </row>
    <row r="285" spans="2:20" ht="38.4" customHeight="1" x14ac:dyDescent="0.2">
      <c r="B285" s="158" t="s">
        <v>125</v>
      </c>
      <c r="C285" s="158" t="s">
        <v>346</v>
      </c>
      <c r="D285" s="158"/>
      <c r="E285" s="158"/>
      <c r="F285" s="97">
        <v>2020</v>
      </c>
      <c r="G285" s="127">
        <f>VLOOKUP($D$8,BD_Indicadores!$A$4:$DY$38,16,FALSE)</f>
        <v>48.2</v>
      </c>
      <c r="H285" s="149">
        <f>VLOOKUP($D$8,BD_Indicadores!$A$4:$DY$38,52,FALSE)</f>
        <v>13</v>
      </c>
      <c r="J285" s="97"/>
      <c r="L285" s="78"/>
      <c r="N285" s="158" t="s">
        <v>125</v>
      </c>
      <c r="O285" s="158" t="s">
        <v>346</v>
      </c>
      <c r="P285" s="158"/>
      <c r="Q285" s="158"/>
      <c r="R285" s="97">
        <v>2020</v>
      </c>
      <c r="S285" s="127">
        <f>VLOOKUP($P$8,BD_Indicadores!$A$4:$PY$38,16,FALSE)</f>
        <v>45.5</v>
      </c>
      <c r="T285" s="149">
        <f>VLOOKUP($P$8,BD_Indicadores!$A$4:$DY$38,52,FALSE)</f>
        <v>0</v>
      </c>
    </row>
    <row r="286" spans="2:20" x14ac:dyDescent="0.2">
      <c r="B286" s="158"/>
      <c r="C286" s="158" t="s">
        <v>147</v>
      </c>
      <c r="D286" s="158"/>
      <c r="E286" s="158"/>
      <c r="F286" s="97">
        <v>2019</v>
      </c>
      <c r="G286" s="127">
        <f>VLOOKUP($D$8,BD_Indicadores!$A$4:$DY$38,17,FALSE)</f>
        <v>11.5</v>
      </c>
      <c r="H286" s="149">
        <f>VLOOKUP($D$8,BD_Indicadores!$A$4:$DY$38,53,FALSE)</f>
        <v>11</v>
      </c>
      <c r="J286" s="97"/>
      <c r="L286" s="78"/>
      <c r="N286" s="158"/>
      <c r="O286" s="158" t="s">
        <v>147</v>
      </c>
      <c r="P286" s="158"/>
      <c r="Q286" s="158"/>
      <c r="R286" s="97">
        <v>2019</v>
      </c>
      <c r="S286" s="127">
        <f>VLOOKUP($P$8,BD_Indicadores!$A$4:$PY$38,17,FALSE)</f>
        <v>10.3</v>
      </c>
      <c r="T286" s="149">
        <f>VLOOKUP($P$8,BD_Indicadores!$A$4:$DY$38,53,FALSE)</f>
        <v>0</v>
      </c>
    </row>
    <row r="287" spans="2:20" x14ac:dyDescent="0.2">
      <c r="B287" s="158"/>
      <c r="C287" s="158" t="s">
        <v>148</v>
      </c>
      <c r="D287" s="158"/>
      <c r="E287" s="158"/>
      <c r="F287" s="97">
        <v>2020</v>
      </c>
      <c r="G287" s="127">
        <f>VLOOKUP($D$8,BD_Indicadores!$A$4:$DY$38,18,FALSE)</f>
        <v>10.3</v>
      </c>
      <c r="H287" s="149">
        <f>VLOOKUP($D$8,BD_Indicadores!$A$4:$DY$38,54,FALSE)</f>
        <v>6</v>
      </c>
      <c r="J287" s="97"/>
      <c r="L287" s="78"/>
      <c r="N287" s="158"/>
      <c r="O287" s="158" t="s">
        <v>148</v>
      </c>
      <c r="P287" s="158"/>
      <c r="Q287" s="158"/>
      <c r="R287" s="97">
        <v>2020</v>
      </c>
      <c r="S287" s="127">
        <f>VLOOKUP($P$8,BD_Indicadores!$A$4:$PY$38,18,FALSE)</f>
        <v>9.6999999999999993</v>
      </c>
      <c r="T287" s="149">
        <f>VLOOKUP($P$8,BD_Indicadores!$A$4:$DY$38,54,FALSE)</f>
        <v>0</v>
      </c>
    </row>
    <row r="288" spans="2:20" x14ac:dyDescent="0.2">
      <c r="B288" s="130"/>
      <c r="C288" s="130"/>
      <c r="D288" s="130"/>
      <c r="E288" s="18"/>
      <c r="F288" s="97"/>
      <c r="G288" s="127"/>
      <c r="H288" s="149"/>
      <c r="J288" s="97"/>
      <c r="L288" s="78"/>
      <c r="N288" s="130"/>
      <c r="O288" s="130"/>
      <c r="P288" s="130"/>
      <c r="Q288" s="18"/>
      <c r="R288" s="97"/>
      <c r="S288" s="127"/>
      <c r="T288" s="149"/>
    </row>
    <row r="289" spans="2:20" ht="20.399999999999999" x14ac:dyDescent="0.2">
      <c r="B289" s="130" t="s">
        <v>126</v>
      </c>
      <c r="C289" s="158" t="s">
        <v>149</v>
      </c>
      <c r="D289" s="158"/>
      <c r="E289" s="158"/>
      <c r="F289" s="97">
        <v>2021</v>
      </c>
      <c r="G289" s="127">
        <f>VLOOKUP($D$8,BD_Indicadores!$A$4:$DY$38,19,FALSE)</f>
        <v>8.6</v>
      </c>
      <c r="H289" s="149">
        <f>VLOOKUP($D$8,BD_Indicadores!$A$4:$DY$38,55,FALSE)</f>
        <v>7</v>
      </c>
      <c r="J289" s="97"/>
      <c r="L289" s="78"/>
      <c r="N289" s="130" t="s">
        <v>126</v>
      </c>
      <c r="O289" s="158" t="s">
        <v>149</v>
      </c>
      <c r="P289" s="158"/>
      <c r="Q289" s="158"/>
      <c r="R289" s="97">
        <v>2021</v>
      </c>
      <c r="S289" s="127">
        <f>VLOOKUP($P$8,BD_Indicadores!$A$4:$PY$38,19,FALSE)</f>
        <v>8.4</v>
      </c>
      <c r="T289" s="149">
        <f>VLOOKUP($P$8,BD_Indicadores!$A$4:$DY$38,55,FALSE)</f>
        <v>0</v>
      </c>
    </row>
    <row r="290" spans="2:20" x14ac:dyDescent="0.2">
      <c r="B290" s="130"/>
      <c r="C290" s="130"/>
      <c r="D290" s="130"/>
      <c r="E290" s="18"/>
      <c r="F290" s="97"/>
      <c r="G290" s="127"/>
      <c r="H290" s="149"/>
      <c r="J290" s="97"/>
      <c r="L290" s="78"/>
      <c r="N290" s="130"/>
      <c r="O290" s="130"/>
      <c r="P290" s="130"/>
      <c r="Q290" s="18"/>
      <c r="R290" s="97"/>
      <c r="S290" s="127"/>
      <c r="T290" s="149"/>
    </row>
    <row r="291" spans="2:20" x14ac:dyDescent="0.2">
      <c r="B291" s="158" t="s">
        <v>127</v>
      </c>
      <c r="C291" s="158" t="s">
        <v>150</v>
      </c>
      <c r="D291" s="158"/>
      <c r="E291" s="158"/>
      <c r="F291" s="97">
        <v>2021</v>
      </c>
      <c r="G291" s="127">
        <f>VLOOKUP($D$8,BD_Indicadores!$A$4:$DY$38,20,FALSE)</f>
        <v>7.8</v>
      </c>
      <c r="H291" s="149">
        <f>VLOOKUP($D$8,BD_Indicadores!$A$4:$DY$38,56,FALSE)</f>
        <v>13</v>
      </c>
      <c r="J291" s="97"/>
      <c r="L291" s="78"/>
      <c r="N291" s="158" t="s">
        <v>127</v>
      </c>
      <c r="O291" s="158" t="s">
        <v>150</v>
      </c>
      <c r="P291" s="158"/>
      <c r="Q291" s="158"/>
      <c r="R291" s="97">
        <v>2021</v>
      </c>
      <c r="S291" s="127">
        <f>VLOOKUP($P$8,BD_Indicadores!$A$4:$PY$38,20,FALSE)</f>
        <v>7.7</v>
      </c>
      <c r="T291" s="149">
        <f>VLOOKUP($P$8,BD_Indicadores!$A$4:$DY$38,56,FALSE)</f>
        <v>0</v>
      </c>
    </row>
    <row r="292" spans="2:20" ht="22.2" customHeight="1" x14ac:dyDescent="0.2">
      <c r="B292" s="158"/>
      <c r="C292" s="158" t="s">
        <v>151</v>
      </c>
      <c r="D292" s="158"/>
      <c r="E292" s="158"/>
      <c r="F292" s="97">
        <v>2021</v>
      </c>
      <c r="G292" s="127">
        <f>VLOOKUP($D$8,BD_Indicadores!$A$4:$DY$38,21,FALSE)</f>
        <v>32.5</v>
      </c>
      <c r="H292" s="149">
        <f>VLOOKUP($D$8,BD_Indicadores!$A$4:$DY$38,57,FALSE)</f>
        <v>4</v>
      </c>
      <c r="L292" s="78"/>
      <c r="N292" s="158"/>
      <c r="O292" s="158" t="s">
        <v>151</v>
      </c>
      <c r="P292" s="158"/>
      <c r="Q292" s="158"/>
      <c r="R292" s="97">
        <v>2021</v>
      </c>
      <c r="S292" s="127">
        <f>VLOOKUP($P$8,BD_Indicadores!$A$4:$PY$38,21,FALSE)</f>
        <v>26.6</v>
      </c>
      <c r="T292" s="149">
        <f>VLOOKUP($P$8,BD_Indicadores!$A$4:$DY$38,57,FALSE)</f>
        <v>0</v>
      </c>
    </row>
    <row r="293" spans="2:20" x14ac:dyDescent="0.2">
      <c r="B293" s="130"/>
      <c r="C293" s="130"/>
      <c r="D293" s="130"/>
      <c r="E293" s="18"/>
      <c r="F293" s="97"/>
      <c r="G293" s="127"/>
      <c r="H293" s="149"/>
      <c r="L293" s="78"/>
      <c r="N293" s="130"/>
      <c r="O293" s="130"/>
      <c r="P293" s="130"/>
      <c r="Q293" s="18"/>
      <c r="R293" s="97"/>
      <c r="S293" s="127"/>
      <c r="T293" s="149"/>
    </row>
    <row r="294" spans="2:20" x14ac:dyDescent="0.2">
      <c r="B294" s="158" t="s">
        <v>128</v>
      </c>
      <c r="C294" s="158" t="s">
        <v>152</v>
      </c>
      <c r="D294" s="158"/>
      <c r="E294" s="158"/>
      <c r="F294" s="97">
        <v>2020</v>
      </c>
      <c r="G294" s="127">
        <f>VLOOKUP($D$8,BD_Indicadores!$A$4:$DY$38,22,FALSE)</f>
        <v>6.5</v>
      </c>
      <c r="H294" s="149">
        <f>VLOOKUP($D$8,BD_Indicadores!$A$4:$DY$38,58,FALSE)</f>
        <v>31</v>
      </c>
      <c r="L294" s="78"/>
      <c r="N294" s="158" t="s">
        <v>128</v>
      </c>
      <c r="O294" s="158" t="s">
        <v>152</v>
      </c>
      <c r="P294" s="158"/>
      <c r="Q294" s="158"/>
      <c r="R294" s="97">
        <v>2020</v>
      </c>
      <c r="S294" s="127">
        <f>VLOOKUP($P$8,BD_Indicadores!$A$4:$PY$38,22,FALSE)</f>
        <v>28.6</v>
      </c>
      <c r="T294" s="149">
        <f>VLOOKUP($P$8,BD_Indicadores!$A$4:$DY$38,58,FALSE)</f>
        <v>0</v>
      </c>
    </row>
    <row r="295" spans="2:20" x14ac:dyDescent="0.2">
      <c r="B295" s="158"/>
      <c r="C295" s="158" t="s">
        <v>153</v>
      </c>
      <c r="D295" s="158"/>
      <c r="E295" s="158"/>
      <c r="F295" s="97">
        <v>2021</v>
      </c>
      <c r="G295" s="127">
        <f>VLOOKUP($D$8,BD_Indicadores!$A$4:$DY$38,23,FALSE)</f>
        <v>70</v>
      </c>
      <c r="H295" s="149">
        <f>VLOOKUP($D$8,BD_Indicadores!$A$4:$DY$38,59,FALSE)</f>
        <v>3</v>
      </c>
      <c r="L295" s="78"/>
      <c r="N295" s="158"/>
      <c r="O295" s="158" t="s">
        <v>153</v>
      </c>
      <c r="P295" s="158"/>
      <c r="Q295" s="158"/>
      <c r="R295" s="97">
        <v>2021</v>
      </c>
      <c r="S295" s="127">
        <f>VLOOKUP($P$8,BD_Indicadores!$A$4:$PY$38,23,FALSE)</f>
        <v>56</v>
      </c>
      <c r="T295" s="149">
        <f>VLOOKUP($P$8,BD_Indicadores!$A$4:$DY$38,59,FALSE)</f>
        <v>0</v>
      </c>
    </row>
    <row r="296" spans="2:20" x14ac:dyDescent="0.2">
      <c r="B296" s="158"/>
      <c r="C296" s="158" t="s">
        <v>154</v>
      </c>
      <c r="D296" s="158"/>
      <c r="E296" s="158"/>
      <c r="F296" s="97">
        <v>2021</v>
      </c>
      <c r="G296" s="127">
        <f>VLOOKUP($D$8,BD_Indicadores!$A$4:$DY$38,24,FALSE)</f>
        <v>41.1</v>
      </c>
      <c r="H296" s="149">
        <f>VLOOKUP($D$8,BD_Indicadores!$A$4:$DY$38,60,FALSE)</f>
        <v>12</v>
      </c>
      <c r="L296" s="78"/>
      <c r="N296" s="158"/>
      <c r="O296" s="158" t="s">
        <v>154</v>
      </c>
      <c r="P296" s="158"/>
      <c r="Q296" s="158"/>
      <c r="R296" s="97">
        <v>2021</v>
      </c>
      <c r="S296" s="127">
        <f>VLOOKUP($P$8,BD_Indicadores!$A$4:$PY$38,24,FALSE)</f>
        <v>41.9</v>
      </c>
      <c r="T296" s="149">
        <f>VLOOKUP($P$8,BD_Indicadores!$A$4:$DY$38,60,FALSE)</f>
        <v>0</v>
      </c>
    </row>
    <row r="297" spans="2:20" x14ac:dyDescent="0.2">
      <c r="B297" s="158"/>
      <c r="C297" s="158" t="s">
        <v>155</v>
      </c>
      <c r="D297" s="158"/>
      <c r="E297" s="158"/>
      <c r="F297" s="97">
        <v>2020</v>
      </c>
      <c r="G297" s="131">
        <f>VLOOKUP($D$8,BD_Indicadores!$A$4:$DY$38,25,FALSE)</f>
        <v>29984</v>
      </c>
      <c r="H297" s="149">
        <f>VLOOKUP($D$8,BD_Indicadores!$A$4:$DY$38,61,FALSE)</f>
        <v>12</v>
      </c>
      <c r="L297" s="78"/>
      <c r="N297" s="158"/>
      <c r="O297" s="158" t="s">
        <v>155</v>
      </c>
      <c r="P297" s="158"/>
      <c r="Q297" s="158"/>
      <c r="R297" s="97">
        <v>2020</v>
      </c>
      <c r="S297" s="131">
        <f>VLOOKUP($P$8,BD_Indicadores!$A$4:$PY$38,25,FALSE)</f>
        <v>30601</v>
      </c>
      <c r="T297" s="149">
        <f>VLOOKUP($P$8,BD_Indicadores!$A$4:$DY$38,61,FALSE)</f>
        <v>0</v>
      </c>
    </row>
    <row r="298" spans="2:20" x14ac:dyDescent="0.2">
      <c r="B298" s="130"/>
      <c r="C298" s="130"/>
      <c r="D298" s="130"/>
      <c r="E298" s="18"/>
      <c r="F298" s="97"/>
      <c r="G298" s="127"/>
      <c r="H298" s="149"/>
      <c r="L298" s="78"/>
      <c r="N298" s="130"/>
      <c r="O298" s="130"/>
      <c r="P298" s="130"/>
      <c r="Q298" s="18"/>
      <c r="R298" s="97"/>
      <c r="S298" s="127"/>
      <c r="T298" s="149"/>
    </row>
    <row r="299" spans="2:20" x14ac:dyDescent="0.2">
      <c r="B299" s="158" t="s">
        <v>129</v>
      </c>
      <c r="C299" s="158" t="s">
        <v>156</v>
      </c>
      <c r="D299" s="158"/>
      <c r="E299" s="158"/>
      <c r="F299" s="97">
        <v>2020</v>
      </c>
      <c r="G299" s="127">
        <f>VLOOKUP($D$8,BD_Indicadores!$A$4:$DY$38,26,FALSE)</f>
        <v>0.39500000000000002</v>
      </c>
      <c r="H299" s="149">
        <f>VLOOKUP($D$8,BD_Indicadores!$A$4:$DY$38,62,FALSE)</f>
        <v>28</v>
      </c>
      <c r="L299" s="78"/>
      <c r="N299" s="158" t="s">
        <v>129</v>
      </c>
      <c r="O299" s="158" t="s">
        <v>156</v>
      </c>
      <c r="P299" s="158"/>
      <c r="Q299" s="158"/>
      <c r="R299" s="97">
        <v>2020</v>
      </c>
      <c r="S299" s="127">
        <f>VLOOKUP($P$8,BD_Indicadores!$A$4:$PY$38,26,FALSE)</f>
        <v>0.45</v>
      </c>
      <c r="T299" s="149">
        <f>VLOOKUP($P$8,BD_Indicadores!$A$4:$DY$38,62,FALSE)</f>
        <v>0</v>
      </c>
    </row>
    <row r="300" spans="2:20" ht="20.399999999999999" customHeight="1" x14ac:dyDescent="0.2">
      <c r="B300" s="158"/>
      <c r="C300" s="158" t="s">
        <v>157</v>
      </c>
      <c r="D300" s="158"/>
      <c r="E300" s="158"/>
      <c r="F300" s="97">
        <v>2020</v>
      </c>
      <c r="G300" s="131">
        <f>VLOOKUP($D$8,BD_Indicadores!$A$4:$DY$38,27,FALSE)</f>
        <v>11400</v>
      </c>
      <c r="H300" s="149">
        <f>VLOOKUP($D$8,BD_Indicadores!$A$4:$DY$38,63,FALSE)</f>
        <v>9</v>
      </c>
      <c r="L300" s="78"/>
      <c r="N300" s="158"/>
      <c r="O300" s="158" t="s">
        <v>157</v>
      </c>
      <c r="P300" s="158"/>
      <c r="Q300" s="158"/>
      <c r="R300" s="97">
        <v>2020</v>
      </c>
      <c r="S300" s="131">
        <f>VLOOKUP($P$8,BD_Indicadores!$A$4:$PY$38,27,FALSE)</f>
        <v>9633</v>
      </c>
      <c r="T300" s="149">
        <f>VLOOKUP($P$8,BD_Indicadores!$A$4:$DY$38,63,FALSE)</f>
        <v>0</v>
      </c>
    </row>
    <row r="301" spans="2:20" ht="20.399999999999999" customHeight="1" x14ac:dyDescent="0.2">
      <c r="B301" s="158"/>
      <c r="C301" s="158" t="s">
        <v>158</v>
      </c>
      <c r="D301" s="158"/>
      <c r="E301" s="158"/>
      <c r="F301" s="97">
        <v>2020</v>
      </c>
      <c r="G301" s="127">
        <f>VLOOKUP($D$8,BD_Indicadores!$A$4:$DY$38,28,FALSE)</f>
        <v>27.6</v>
      </c>
      <c r="H301" s="149">
        <f>VLOOKUP($D$8,BD_Indicadores!$A$4:$DY$38,64,FALSE)</f>
        <v>26</v>
      </c>
      <c r="L301" s="78"/>
      <c r="N301" s="158"/>
      <c r="O301" s="158" t="s">
        <v>158</v>
      </c>
      <c r="P301" s="158"/>
      <c r="Q301" s="158"/>
      <c r="R301" s="97">
        <v>2020</v>
      </c>
      <c r="S301" s="127">
        <f>VLOOKUP($P$8,BD_Indicadores!$A$4:$PY$38,28,FALSE)</f>
        <v>43.9</v>
      </c>
      <c r="T301" s="149">
        <f>VLOOKUP($P$8,BD_Indicadores!$A$4:$DY$38,64,FALSE)</f>
        <v>0</v>
      </c>
    </row>
    <row r="302" spans="2:20" ht="20.399999999999999" customHeight="1" x14ac:dyDescent="0.2">
      <c r="B302" s="158"/>
      <c r="C302" s="158" t="s">
        <v>159</v>
      </c>
      <c r="D302" s="158"/>
      <c r="E302" s="158"/>
      <c r="F302" s="97">
        <v>2020</v>
      </c>
      <c r="G302" s="127">
        <f>VLOOKUP($D$8,BD_Indicadores!$A$4:$DY$38,29,FALSE)</f>
        <v>2.4</v>
      </c>
      <c r="H302" s="149">
        <f>VLOOKUP($D$8,BD_Indicadores!$A$4:$DY$38,65,FALSE)</f>
        <v>28</v>
      </c>
      <c r="L302" s="78"/>
      <c r="N302" s="158"/>
      <c r="O302" s="158" t="s">
        <v>159</v>
      </c>
      <c r="P302" s="158"/>
      <c r="Q302" s="158"/>
      <c r="R302" s="97">
        <v>2020</v>
      </c>
      <c r="S302" s="127">
        <f>VLOOKUP($P$8,BD_Indicadores!$A$4:$PY$38,29,FALSE)</f>
        <v>8.5</v>
      </c>
      <c r="T302" s="149">
        <f>VLOOKUP($P$8,BD_Indicadores!$A$4:$DY$38,65,FALSE)</f>
        <v>0</v>
      </c>
    </row>
    <row r="303" spans="2:20" x14ac:dyDescent="0.2">
      <c r="B303" s="130"/>
      <c r="C303" s="130"/>
      <c r="D303" s="130"/>
      <c r="E303" s="18"/>
      <c r="F303" s="97"/>
      <c r="G303" s="127"/>
      <c r="H303" s="149"/>
      <c r="L303" s="78"/>
      <c r="N303" s="130"/>
      <c r="O303" s="130"/>
      <c r="P303" s="130"/>
      <c r="Q303" s="18"/>
      <c r="R303" s="97"/>
      <c r="S303" s="127"/>
      <c r="T303" s="149"/>
    </row>
    <row r="304" spans="2:20" ht="24" customHeight="1" x14ac:dyDescent="0.2">
      <c r="B304" s="158" t="s">
        <v>130</v>
      </c>
      <c r="C304" s="158" t="s">
        <v>160</v>
      </c>
      <c r="D304" s="158"/>
      <c r="E304" s="158"/>
      <c r="F304" s="97">
        <v>2021</v>
      </c>
      <c r="G304" s="127">
        <f>VLOOKUP($D$8,BD_Indicadores!$A$4:$DY$38,30,FALSE)</f>
        <v>18.899999999999999</v>
      </c>
      <c r="H304" s="149">
        <f>VLOOKUP($D$8,BD_Indicadores!$A$4:$DY$38,66,FALSE)</f>
        <v>25</v>
      </c>
      <c r="L304" s="78"/>
      <c r="N304" s="158" t="s">
        <v>130</v>
      </c>
      <c r="O304" s="158" t="s">
        <v>160</v>
      </c>
      <c r="P304" s="158"/>
      <c r="Q304" s="158"/>
      <c r="R304" s="97">
        <v>2021</v>
      </c>
      <c r="S304" s="127">
        <f>VLOOKUP($P$8,BD_Indicadores!$A$4:$PY$38,30,FALSE)</f>
        <v>24.9</v>
      </c>
      <c r="T304" s="149">
        <f>VLOOKUP($P$8,BD_Indicadores!$A$4:$DY$38,66,FALSE)</f>
        <v>0</v>
      </c>
    </row>
    <row r="305" spans="1:22" x14ac:dyDescent="0.2">
      <c r="B305" s="158"/>
      <c r="C305" s="158" t="s">
        <v>161</v>
      </c>
      <c r="D305" s="158"/>
      <c r="E305" s="158"/>
      <c r="F305" s="97">
        <v>2021</v>
      </c>
      <c r="G305" s="127">
        <f>VLOOKUP($D$8,BD_Indicadores!$A$4:$DY$38,31,FALSE)</f>
        <v>40</v>
      </c>
      <c r="H305" s="149">
        <f>VLOOKUP($D$8,BD_Indicadores!$A$4:$DY$38,67,FALSE)</f>
        <v>27</v>
      </c>
      <c r="L305" s="78"/>
      <c r="N305" s="158"/>
      <c r="O305" s="158" t="s">
        <v>161</v>
      </c>
      <c r="P305" s="158"/>
      <c r="Q305" s="158"/>
      <c r="R305" s="97">
        <v>2021</v>
      </c>
      <c r="S305" s="127">
        <f>VLOOKUP($P$8,BD_Indicadores!$A$4:$PY$38,31,FALSE)</f>
        <v>55.9</v>
      </c>
      <c r="T305" s="149">
        <f>VLOOKUP($P$8,BD_Indicadores!$A$4:$DY$38,67,FALSE)</f>
        <v>0</v>
      </c>
    </row>
    <row r="306" spans="1:22" x14ac:dyDescent="0.2">
      <c r="B306" s="158"/>
      <c r="C306" s="158" t="s">
        <v>162</v>
      </c>
      <c r="D306" s="158"/>
      <c r="E306" s="158"/>
      <c r="F306" s="97">
        <v>2021</v>
      </c>
      <c r="G306" s="127">
        <f>VLOOKUP($D$8,BD_Indicadores!$A$4:$DY$38,32,FALSE)</f>
        <v>4.0999999999999996</v>
      </c>
      <c r="H306" s="149">
        <f>VLOOKUP($D$8,BD_Indicadores!$A$4:$DY$38,68,FALSE)</f>
        <v>10</v>
      </c>
      <c r="L306" s="78"/>
      <c r="N306" s="158"/>
      <c r="O306" s="158" t="s">
        <v>162</v>
      </c>
      <c r="P306" s="158"/>
      <c r="Q306" s="158"/>
      <c r="R306" s="97">
        <v>2021</v>
      </c>
      <c r="S306" s="127">
        <f>VLOOKUP($P$8,BD_Indicadores!$A$4:$PY$38,32,FALSE)</f>
        <v>4.0999999999999996</v>
      </c>
      <c r="T306" s="149">
        <f>VLOOKUP($P$8,BD_Indicadores!$A$4:$DY$38,68,FALSE)</f>
        <v>0</v>
      </c>
    </row>
    <row r="307" spans="1:22" x14ac:dyDescent="0.2">
      <c r="B307" s="158"/>
      <c r="C307" s="158" t="s">
        <v>163</v>
      </c>
      <c r="D307" s="158"/>
      <c r="E307" s="158"/>
      <c r="F307" s="97">
        <v>2021</v>
      </c>
      <c r="G307" s="127">
        <f>VLOOKUP($D$8,BD_Indicadores!$A$4:$DY$38,33,FALSE)</f>
        <v>58.9</v>
      </c>
      <c r="H307" s="149">
        <f>VLOOKUP($D$8,BD_Indicadores!$A$4:$DY$38,69,FALSE)</f>
        <v>20</v>
      </c>
      <c r="L307" s="78"/>
      <c r="N307" s="158"/>
      <c r="O307" s="158" t="s">
        <v>163</v>
      </c>
      <c r="P307" s="158"/>
      <c r="Q307" s="158"/>
      <c r="R307" s="97">
        <v>2021</v>
      </c>
      <c r="S307" s="127">
        <f>VLOOKUP($P$8,BD_Indicadores!$A$4:$PY$38,33,FALSE)</f>
        <v>58.8</v>
      </c>
      <c r="T307" s="149">
        <f>VLOOKUP($P$8,BD_Indicadores!$A$4:$DY$38,69,FALSE)</f>
        <v>0</v>
      </c>
    </row>
    <row r="308" spans="1:22" x14ac:dyDescent="0.2">
      <c r="B308" s="130"/>
      <c r="C308" s="130"/>
      <c r="D308" s="130"/>
      <c r="E308" s="18"/>
      <c r="F308" s="97"/>
      <c r="G308" s="127"/>
      <c r="H308" s="149"/>
      <c r="L308" s="78"/>
      <c r="N308" s="130"/>
      <c r="O308" s="130"/>
      <c r="P308" s="130"/>
      <c r="Q308" s="18"/>
      <c r="R308" s="97"/>
      <c r="S308" s="127"/>
      <c r="T308" s="149"/>
    </row>
    <row r="309" spans="1:22" x14ac:dyDescent="0.2">
      <c r="B309" s="158" t="s">
        <v>131</v>
      </c>
      <c r="C309" s="158" t="s">
        <v>164</v>
      </c>
      <c r="D309" s="158"/>
      <c r="E309" s="158"/>
      <c r="F309" s="97">
        <v>2019</v>
      </c>
      <c r="G309" s="127">
        <f>VLOOKUP($D$8,BD_Indicadores!$A$4:$DY$38,34,FALSE)</f>
        <v>19.5</v>
      </c>
      <c r="H309" s="149">
        <f>VLOOKUP($D$8,BD_Indicadores!$A$4:$DY$38,70,FALSE)</f>
        <v>15</v>
      </c>
      <c r="L309" s="78"/>
      <c r="N309" s="158" t="s">
        <v>131</v>
      </c>
      <c r="O309" s="158" t="s">
        <v>164</v>
      </c>
      <c r="P309" s="158"/>
      <c r="Q309" s="158"/>
      <c r="R309" s="97">
        <v>2019</v>
      </c>
      <c r="S309" s="127">
        <f>VLOOKUP($P$8,BD_Indicadores!$A$4:$PY$38,34,FALSE)</f>
        <v>20.100000000000001</v>
      </c>
      <c r="T309" s="149">
        <f>VLOOKUP($P$8,BD_Indicadores!$A$4:$DY$38,70,FALSE)</f>
        <v>0</v>
      </c>
    </row>
    <row r="310" spans="1:22" x14ac:dyDescent="0.2">
      <c r="B310" s="158"/>
      <c r="C310" s="158" t="s">
        <v>165</v>
      </c>
      <c r="D310" s="158"/>
      <c r="E310" s="158"/>
      <c r="F310" s="97">
        <v>2012</v>
      </c>
      <c r="G310" s="127">
        <f>VLOOKUP($D$8,BD_Indicadores!$A$4:$DY$38,35,FALSE)</f>
        <v>100</v>
      </c>
      <c r="H310" s="149">
        <f>VLOOKUP($D$8,BD_Indicadores!$A$4:$DY$38,71,FALSE)</f>
        <v>1</v>
      </c>
      <c r="L310" s="78"/>
      <c r="N310" s="158"/>
      <c r="O310" s="158" t="s">
        <v>165</v>
      </c>
      <c r="P310" s="158"/>
      <c r="Q310" s="158"/>
      <c r="R310" s="97">
        <v>2012</v>
      </c>
      <c r="S310" s="127">
        <f>VLOOKUP($P$8,BD_Indicadores!$A$4:$PY$38,35,FALSE)</f>
        <v>74.400000000000006</v>
      </c>
      <c r="T310" s="149">
        <f>VLOOKUP($P$8,BD_Indicadores!$A$4:$DY$38,71,FALSE)</f>
        <v>0</v>
      </c>
    </row>
    <row r="311" spans="1:22" x14ac:dyDescent="0.2">
      <c r="B311" s="130"/>
      <c r="C311" s="130"/>
      <c r="D311" s="130"/>
      <c r="E311" s="18"/>
      <c r="F311" s="97"/>
      <c r="G311" s="127"/>
      <c r="H311" s="149"/>
      <c r="L311" s="78"/>
      <c r="N311" s="130"/>
      <c r="O311" s="130"/>
      <c r="P311" s="130"/>
      <c r="Q311" s="18"/>
      <c r="R311" s="97"/>
      <c r="S311" s="127"/>
      <c r="T311" s="149"/>
    </row>
    <row r="312" spans="1:22" x14ac:dyDescent="0.2">
      <c r="B312" s="158" t="s">
        <v>132</v>
      </c>
      <c r="C312" s="158" t="s">
        <v>166</v>
      </c>
      <c r="D312" s="158"/>
      <c r="E312" s="158"/>
      <c r="F312" s="97">
        <v>2020</v>
      </c>
      <c r="G312" s="127">
        <f>VLOOKUP($D$8,BD_Indicadores!$A$4:$DY$38,36,FALSE)</f>
        <v>1.1000000000000001</v>
      </c>
      <c r="H312" s="149">
        <f>VLOOKUP($D$8,BD_Indicadores!$A$4:$DY$38,72,FALSE)</f>
        <v>5</v>
      </c>
      <c r="L312" s="78"/>
      <c r="N312" s="158" t="s">
        <v>132</v>
      </c>
      <c r="O312" s="158" t="s">
        <v>166</v>
      </c>
      <c r="P312" s="158"/>
      <c r="Q312" s="158"/>
      <c r="R312" s="97">
        <v>2020</v>
      </c>
      <c r="S312" s="127">
        <f>VLOOKUP($P$8,BD_Indicadores!$A$4:$PY$38,36,FALSE)</f>
        <v>1</v>
      </c>
      <c r="T312" s="149">
        <f>VLOOKUP($P$8,BD_Indicadores!$A$4:$DY$38,72,FALSE)</f>
        <v>0</v>
      </c>
    </row>
    <row r="313" spans="1:22" x14ac:dyDescent="0.2">
      <c r="B313" s="158"/>
      <c r="C313" s="158" t="s">
        <v>167</v>
      </c>
      <c r="D313" s="158"/>
      <c r="E313" s="158"/>
      <c r="F313" s="97">
        <v>2020</v>
      </c>
      <c r="G313" s="127">
        <f>VLOOKUP($D$8,BD_Indicadores!$A$4:$DY$38,37,FALSE)</f>
        <v>97.4</v>
      </c>
      <c r="H313" s="149">
        <f>VLOOKUP($D$8,BD_Indicadores!$A$4:$DY$38,73,FALSE)</f>
        <v>1</v>
      </c>
      <c r="L313" s="78"/>
      <c r="N313" s="158"/>
      <c r="O313" s="158" t="s">
        <v>167</v>
      </c>
      <c r="P313" s="158"/>
      <c r="Q313" s="158"/>
      <c r="R313" s="97">
        <v>2020</v>
      </c>
      <c r="S313" s="127">
        <f>VLOOKUP($P$8,BD_Indicadores!$A$4:$PY$38,37,FALSE)</f>
        <v>79</v>
      </c>
      <c r="T313" s="149">
        <f>VLOOKUP($P$8,BD_Indicadores!$A$4:$DY$38,73,FALSE)</f>
        <v>0</v>
      </c>
    </row>
    <row r="314" spans="1:22" ht="10.8" thickBot="1" x14ac:dyDescent="0.25">
      <c r="A314" s="87"/>
      <c r="B314" s="83"/>
      <c r="C314" s="83"/>
      <c r="D314" s="83"/>
      <c r="E314" s="83"/>
      <c r="F314" s="83"/>
      <c r="G314" s="83"/>
      <c r="H314" s="83"/>
      <c r="L314" s="78"/>
      <c r="N314" s="83"/>
      <c r="O314" s="83"/>
      <c r="P314" s="83"/>
      <c r="Q314" s="83"/>
      <c r="R314" s="83"/>
      <c r="S314" s="83"/>
      <c r="T314" s="83"/>
    </row>
    <row r="315" spans="1:22" x14ac:dyDescent="0.2">
      <c r="L315" s="78"/>
    </row>
    <row r="316" spans="1:22" ht="33.6" customHeight="1" x14ac:dyDescent="0.2">
      <c r="B316" s="158" t="s">
        <v>390</v>
      </c>
      <c r="C316" s="158"/>
      <c r="D316" s="158"/>
      <c r="E316" s="158"/>
      <c r="F316" s="158"/>
      <c r="G316" s="158"/>
      <c r="H316" s="158"/>
      <c r="I316" s="158"/>
      <c r="J316" s="158"/>
      <c r="L316" s="78"/>
      <c r="N316" s="158" t="s">
        <v>390</v>
      </c>
      <c r="O316" s="158"/>
      <c r="P316" s="158"/>
      <c r="Q316" s="158"/>
      <c r="R316" s="158"/>
      <c r="S316" s="158"/>
      <c r="T316" s="158"/>
      <c r="U316" s="158"/>
      <c r="V316" s="158"/>
    </row>
    <row r="317" spans="1:22" x14ac:dyDescent="0.2">
      <c r="L317" s="78"/>
    </row>
    <row r="318" spans="1:22" x14ac:dyDescent="0.2">
      <c r="L318" s="78"/>
    </row>
    <row r="319" spans="1:22" x14ac:dyDescent="0.2">
      <c r="L319" s="78"/>
    </row>
    <row r="320" spans="1:22" x14ac:dyDescent="0.2">
      <c r="L320" s="78"/>
    </row>
    <row r="321" spans="12:12" x14ac:dyDescent="0.2">
      <c r="L321" s="78"/>
    </row>
    <row r="322" spans="12:12" x14ac:dyDescent="0.2">
      <c r="L322" s="78"/>
    </row>
  </sheetData>
  <sheetProtection algorithmName="SHA-512" hashValue="n3GUq8LVvOvAFyL4NOifwFTxVaS03PEjUljTMXAT1EQnTh6FXrlw19FHggeyrLirFQlo7a+eAQd0THrnjewECw==" saltValue="YeikxzKYGDHkeMyopZJ5Nw==" spinCount="100000" sheet="1" objects="1" scenarios="1"/>
  <mergeCells count="140">
    <mergeCell ref="B98:J98"/>
    <mergeCell ref="N98:T98"/>
    <mergeCell ref="B127:C127"/>
    <mergeCell ref="N44:T44"/>
    <mergeCell ref="O138:U138"/>
    <mergeCell ref="T38:U38"/>
    <mergeCell ref="T86:U86"/>
    <mergeCell ref="B123:J123"/>
    <mergeCell ref="N123:V123"/>
    <mergeCell ref="B268:B270"/>
    <mergeCell ref="B264:C264"/>
    <mergeCell ref="O266:Q266"/>
    <mergeCell ref="N268:N270"/>
    <mergeCell ref="O268:Q268"/>
    <mergeCell ref="O269:Q269"/>
    <mergeCell ref="O270:Q270"/>
    <mergeCell ref="B15:C15"/>
    <mergeCell ref="B78:C78"/>
    <mergeCell ref="B32:C32"/>
    <mergeCell ref="B34:C34"/>
    <mergeCell ref="H38:I38"/>
    <mergeCell ref="N34:O34"/>
    <mergeCell ref="B136:C136"/>
    <mergeCell ref="C266:E266"/>
    <mergeCell ref="O186:U186"/>
    <mergeCell ref="O208:U208"/>
    <mergeCell ref="C138:I138"/>
    <mergeCell ref="C208:I208"/>
    <mergeCell ref="C186:I186"/>
    <mergeCell ref="N136:O136"/>
    <mergeCell ref="B129:C129"/>
    <mergeCell ref="B44:J44"/>
    <mergeCell ref="H86:I86"/>
    <mergeCell ref="B272:B275"/>
    <mergeCell ref="B279:B283"/>
    <mergeCell ref="B285:B287"/>
    <mergeCell ref="B299:B302"/>
    <mergeCell ref="B304:B307"/>
    <mergeCell ref="B309:B310"/>
    <mergeCell ref="B312:B313"/>
    <mergeCell ref="B291:B292"/>
    <mergeCell ref="B294:B297"/>
    <mergeCell ref="O297:Q297"/>
    <mergeCell ref="C286:E286"/>
    <mergeCell ref="C287:E287"/>
    <mergeCell ref="C289:E289"/>
    <mergeCell ref="C291:E291"/>
    <mergeCell ref="C292:E292"/>
    <mergeCell ref="C268:E268"/>
    <mergeCell ref="C269:E269"/>
    <mergeCell ref="C270:E270"/>
    <mergeCell ref="C272:E272"/>
    <mergeCell ref="C273:E273"/>
    <mergeCell ref="C274:E274"/>
    <mergeCell ref="C275:E275"/>
    <mergeCell ref="C277:E277"/>
    <mergeCell ref="C279:E279"/>
    <mergeCell ref="C280:E280"/>
    <mergeCell ref="C281:E281"/>
    <mergeCell ref="C282:E282"/>
    <mergeCell ref="C283:E283"/>
    <mergeCell ref="C285:E285"/>
    <mergeCell ref="N291:N292"/>
    <mergeCell ref="O291:Q291"/>
    <mergeCell ref="O292:Q292"/>
    <mergeCell ref="C309:E309"/>
    <mergeCell ref="C310:E310"/>
    <mergeCell ref="C312:E312"/>
    <mergeCell ref="C313:E313"/>
    <mergeCell ref="C294:E294"/>
    <mergeCell ref="C295:E295"/>
    <mergeCell ref="C296:E296"/>
    <mergeCell ref="C297:E297"/>
    <mergeCell ref="C299:E299"/>
    <mergeCell ref="C300:E300"/>
    <mergeCell ref="C301:E301"/>
    <mergeCell ref="C302:E302"/>
    <mergeCell ref="C304:E304"/>
    <mergeCell ref="C305:E305"/>
    <mergeCell ref="C306:E306"/>
    <mergeCell ref="C307:E307"/>
    <mergeCell ref="N294:N297"/>
    <mergeCell ref="O294:Q294"/>
    <mergeCell ref="B29:J29"/>
    <mergeCell ref="N285:N287"/>
    <mergeCell ref="O285:Q285"/>
    <mergeCell ref="O286:Q286"/>
    <mergeCell ref="O287:Q287"/>
    <mergeCell ref="O289:Q289"/>
    <mergeCell ref="O277:Q277"/>
    <mergeCell ref="N279:N283"/>
    <mergeCell ref="O279:Q279"/>
    <mergeCell ref="O280:Q280"/>
    <mergeCell ref="O281:Q281"/>
    <mergeCell ref="O282:Q282"/>
    <mergeCell ref="O283:Q283"/>
    <mergeCell ref="N272:N275"/>
    <mergeCell ref="O272:Q272"/>
    <mergeCell ref="O273:Q273"/>
    <mergeCell ref="O274:Q274"/>
    <mergeCell ref="O275:Q275"/>
    <mergeCell ref="O295:Q295"/>
    <mergeCell ref="B255:J255"/>
    <mergeCell ref="N255:V255"/>
    <mergeCell ref="O296:Q296"/>
    <mergeCell ref="O313:Q313"/>
    <mergeCell ref="N304:N307"/>
    <mergeCell ref="O304:Q304"/>
    <mergeCell ref="O305:Q305"/>
    <mergeCell ref="O306:Q306"/>
    <mergeCell ref="O307:Q307"/>
    <mergeCell ref="N299:N302"/>
    <mergeCell ref="O299:Q299"/>
    <mergeCell ref="O300:Q300"/>
    <mergeCell ref="O301:Q301"/>
    <mergeCell ref="O302:Q302"/>
    <mergeCell ref="B316:J316"/>
    <mergeCell ref="N316:V316"/>
    <mergeCell ref="N17:P17"/>
    <mergeCell ref="N19:P19"/>
    <mergeCell ref="N21:P21"/>
    <mergeCell ref="N23:P23"/>
    <mergeCell ref="N25:P25"/>
    <mergeCell ref="N27:P27"/>
    <mergeCell ref="N29:V29"/>
    <mergeCell ref="B70:J70"/>
    <mergeCell ref="N70:V70"/>
    <mergeCell ref="B19:D19"/>
    <mergeCell ref="B21:D21"/>
    <mergeCell ref="B17:D17"/>
    <mergeCell ref="B23:D23"/>
    <mergeCell ref="B25:D25"/>
    <mergeCell ref="B27:D27"/>
    <mergeCell ref="S18:V22"/>
    <mergeCell ref="G18:J22"/>
    <mergeCell ref="N309:N310"/>
    <mergeCell ref="O309:Q309"/>
    <mergeCell ref="O310:Q310"/>
    <mergeCell ref="N312:N313"/>
    <mergeCell ref="O312:Q312"/>
  </mergeCells>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121" r:id="rId4" name="Drop Down 1">
              <controlPr defaultSize="0" autoLine="0" autoPict="0">
                <anchor moveWithCells="1">
                  <from>
                    <xdr:col>3</xdr:col>
                    <xdr:colOff>7620</xdr:colOff>
                    <xdr:row>7</xdr:row>
                    <xdr:rowOff>22860</xdr:rowOff>
                  </from>
                  <to>
                    <xdr:col>4</xdr:col>
                    <xdr:colOff>571500</xdr:colOff>
                    <xdr:row>7</xdr:row>
                    <xdr:rowOff>213360</xdr:rowOff>
                  </to>
                </anchor>
              </controlPr>
            </control>
          </mc:Choice>
        </mc:AlternateContent>
        <mc:AlternateContent xmlns:mc="http://schemas.openxmlformats.org/markup-compatibility/2006">
          <mc:Choice Requires="x14">
            <control shapeId="5122" r:id="rId5" name="Drop Down 2">
              <controlPr defaultSize="0" autoLine="0" autoPict="0">
                <anchor moveWithCells="1">
                  <from>
                    <xdr:col>14</xdr:col>
                    <xdr:colOff>693420</xdr:colOff>
                    <xdr:row>7</xdr:row>
                    <xdr:rowOff>15240</xdr:rowOff>
                  </from>
                  <to>
                    <xdr:col>16</xdr:col>
                    <xdr:colOff>548640</xdr:colOff>
                    <xdr:row>7</xdr:row>
                    <xdr:rowOff>205740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74750A-F130-4DBD-A730-75517F021096}">
  <dimension ref="A1:ED37"/>
  <sheetViews>
    <sheetView workbookViewId="0">
      <pane xSplit="2" ySplit="4" topLeftCell="DO5" activePane="bottomRight" state="frozen"/>
      <selection pane="topRight" activeCell="C1" sqref="C1"/>
      <selection pane="bottomLeft" activeCell="A5" sqref="A5"/>
      <selection pane="bottomRight" activeCell="ED5" sqref="ED5"/>
    </sheetView>
  </sheetViews>
  <sheetFormatPr baseColWidth="10" defaultRowHeight="10.199999999999999" x14ac:dyDescent="0.2"/>
  <cols>
    <col min="1" max="1" width="3" style="18" bestFit="1" customWidth="1"/>
    <col min="2" max="2" width="16.42578125" style="18" bestFit="1" customWidth="1"/>
    <col min="3" max="3" width="11.7109375" style="18" bestFit="1" customWidth="1"/>
    <col min="4" max="9" width="10.85546875" style="18" customWidth="1"/>
    <col min="10" max="10" width="15" style="18" customWidth="1"/>
    <col min="11" max="16" width="10.85546875" style="18" customWidth="1"/>
    <col min="17" max="129" width="11.42578125" style="18"/>
    <col min="130" max="130" width="13.85546875" style="18" bestFit="1" customWidth="1"/>
    <col min="131" max="132" width="11.42578125" style="18"/>
    <col min="133" max="133" width="13" style="18" customWidth="1"/>
    <col min="134" max="134" width="68.85546875" style="63" customWidth="1"/>
    <col min="135" max="16384" width="11.42578125" style="18"/>
  </cols>
  <sheetData>
    <row r="1" spans="1:134" x14ac:dyDescent="0.2">
      <c r="A1" s="18">
        <v>1</v>
      </c>
      <c r="B1" s="18">
        <v>2</v>
      </c>
      <c r="C1" s="18">
        <v>3</v>
      </c>
      <c r="D1" s="18">
        <v>4</v>
      </c>
      <c r="E1" s="18">
        <v>5</v>
      </c>
      <c r="F1" s="18">
        <v>6</v>
      </c>
      <c r="G1" s="18">
        <v>7</v>
      </c>
      <c r="H1" s="18">
        <v>8</v>
      </c>
      <c r="I1" s="18">
        <v>9</v>
      </c>
      <c r="J1" s="18">
        <v>10</v>
      </c>
      <c r="K1" s="18">
        <v>11</v>
      </c>
      <c r="L1" s="18">
        <v>12</v>
      </c>
      <c r="M1" s="18">
        <v>13</v>
      </c>
      <c r="N1" s="18">
        <v>14</v>
      </c>
      <c r="O1" s="18">
        <v>15</v>
      </c>
      <c r="P1" s="18">
        <v>16</v>
      </c>
      <c r="Q1" s="18">
        <v>17</v>
      </c>
      <c r="R1" s="18">
        <v>18</v>
      </c>
      <c r="S1" s="18">
        <v>19</v>
      </c>
      <c r="T1" s="18">
        <v>20</v>
      </c>
      <c r="U1" s="18">
        <v>21</v>
      </c>
      <c r="V1" s="18">
        <v>22</v>
      </c>
      <c r="W1" s="18">
        <v>23</v>
      </c>
      <c r="X1" s="18">
        <v>24</v>
      </c>
      <c r="Y1" s="18">
        <v>25</v>
      </c>
      <c r="Z1" s="18">
        <v>26</v>
      </c>
      <c r="AA1" s="18">
        <v>27</v>
      </c>
      <c r="AB1" s="18">
        <v>28</v>
      </c>
      <c r="AC1" s="18">
        <v>29</v>
      </c>
      <c r="AD1" s="18">
        <v>30</v>
      </c>
      <c r="AE1" s="18">
        <v>31</v>
      </c>
      <c r="AF1" s="18">
        <v>32</v>
      </c>
      <c r="AG1" s="18">
        <v>33</v>
      </c>
      <c r="AH1" s="18">
        <v>34</v>
      </c>
      <c r="AI1" s="18">
        <v>35</v>
      </c>
      <c r="AJ1" s="18">
        <v>36</v>
      </c>
      <c r="AK1" s="18">
        <v>37</v>
      </c>
      <c r="AL1" s="18">
        <v>38</v>
      </c>
      <c r="AM1" s="18">
        <v>39</v>
      </c>
      <c r="AN1" s="18">
        <v>40</v>
      </c>
      <c r="AO1" s="18">
        <v>41</v>
      </c>
      <c r="AP1" s="18">
        <v>42</v>
      </c>
      <c r="AQ1" s="18">
        <v>43</v>
      </c>
      <c r="AR1" s="18">
        <v>44</v>
      </c>
      <c r="AS1" s="18">
        <v>45</v>
      </c>
      <c r="AT1" s="18">
        <v>46</v>
      </c>
      <c r="AU1" s="18">
        <v>47</v>
      </c>
      <c r="AV1" s="18">
        <v>48</v>
      </c>
      <c r="AW1" s="18">
        <v>49</v>
      </c>
      <c r="AX1" s="18">
        <v>50</v>
      </c>
      <c r="AY1" s="18">
        <v>51</v>
      </c>
      <c r="AZ1" s="18">
        <v>52</v>
      </c>
      <c r="BA1" s="18">
        <v>53</v>
      </c>
      <c r="BB1" s="18">
        <v>54</v>
      </c>
      <c r="BC1" s="18">
        <v>55</v>
      </c>
      <c r="BD1" s="18">
        <v>56</v>
      </c>
      <c r="BE1" s="18">
        <v>57</v>
      </c>
      <c r="BF1" s="18">
        <v>58</v>
      </c>
      <c r="BG1" s="18">
        <v>59</v>
      </c>
      <c r="BH1" s="18">
        <v>60</v>
      </c>
      <c r="BI1" s="18">
        <v>61</v>
      </c>
      <c r="BJ1" s="18">
        <v>62</v>
      </c>
      <c r="BK1" s="18">
        <v>63</v>
      </c>
      <c r="BL1" s="18">
        <v>64</v>
      </c>
      <c r="BM1" s="18">
        <v>65</v>
      </c>
      <c r="BN1" s="18">
        <v>66</v>
      </c>
      <c r="BO1" s="18">
        <v>67</v>
      </c>
      <c r="BP1" s="18">
        <v>68</v>
      </c>
      <c r="BQ1" s="18">
        <v>69</v>
      </c>
      <c r="BR1" s="18">
        <v>70</v>
      </c>
      <c r="BS1" s="18">
        <v>71</v>
      </c>
      <c r="BT1" s="18">
        <v>72</v>
      </c>
      <c r="BU1" s="18">
        <v>73</v>
      </c>
      <c r="BV1" s="18">
        <v>74</v>
      </c>
      <c r="BW1" s="18">
        <v>75</v>
      </c>
      <c r="BX1" s="18">
        <v>76</v>
      </c>
      <c r="BY1" s="18">
        <v>77</v>
      </c>
      <c r="BZ1" s="18">
        <v>78</v>
      </c>
      <c r="CA1" s="18">
        <v>79</v>
      </c>
      <c r="CB1" s="18">
        <v>80</v>
      </c>
      <c r="CC1" s="18">
        <v>81</v>
      </c>
      <c r="CD1" s="18">
        <v>82</v>
      </c>
      <c r="CE1" s="18">
        <v>83</v>
      </c>
      <c r="CF1" s="18">
        <v>84</v>
      </c>
      <c r="CG1" s="18">
        <v>85</v>
      </c>
      <c r="CH1" s="18">
        <v>86</v>
      </c>
      <c r="CI1" s="18">
        <v>87</v>
      </c>
      <c r="CJ1" s="18">
        <v>88</v>
      </c>
      <c r="CK1" s="18">
        <v>89</v>
      </c>
      <c r="CL1" s="18">
        <v>90</v>
      </c>
      <c r="CM1" s="18">
        <v>91</v>
      </c>
      <c r="CN1" s="18">
        <v>92</v>
      </c>
      <c r="CO1" s="18">
        <v>93</v>
      </c>
      <c r="CP1" s="18">
        <v>94</v>
      </c>
      <c r="CQ1" s="18">
        <v>95</v>
      </c>
      <c r="CR1" s="18">
        <v>96</v>
      </c>
      <c r="CS1" s="18">
        <v>97</v>
      </c>
      <c r="CT1" s="18">
        <v>98</v>
      </c>
      <c r="CU1" s="18">
        <v>99</v>
      </c>
      <c r="CV1" s="18">
        <v>100</v>
      </c>
      <c r="CW1" s="18">
        <v>101</v>
      </c>
      <c r="CX1" s="18">
        <v>102</v>
      </c>
      <c r="CY1" s="18">
        <v>103</v>
      </c>
      <c r="CZ1" s="18">
        <v>104</v>
      </c>
      <c r="DA1" s="18">
        <v>105</v>
      </c>
      <c r="DB1" s="18">
        <v>106</v>
      </c>
      <c r="DC1" s="18">
        <v>107</v>
      </c>
      <c r="DD1" s="18">
        <v>108</v>
      </c>
      <c r="DE1" s="18">
        <v>109</v>
      </c>
      <c r="DF1" s="18">
        <v>110</v>
      </c>
      <c r="DG1" s="18">
        <v>111</v>
      </c>
      <c r="DH1" s="18">
        <v>112</v>
      </c>
      <c r="DI1" s="18">
        <v>113</v>
      </c>
      <c r="DJ1" s="18">
        <v>114</v>
      </c>
      <c r="DK1" s="18">
        <v>115</v>
      </c>
      <c r="DL1" s="18">
        <v>116</v>
      </c>
      <c r="DM1" s="18">
        <v>117</v>
      </c>
      <c r="DN1" s="18">
        <v>118</v>
      </c>
      <c r="DO1" s="18">
        <v>119</v>
      </c>
      <c r="DP1" s="18">
        <v>120</v>
      </c>
      <c r="DQ1" s="18">
        <v>121</v>
      </c>
      <c r="DR1" s="18">
        <v>122</v>
      </c>
      <c r="DS1" s="18">
        <v>123</v>
      </c>
      <c r="DT1" s="18">
        <v>124</v>
      </c>
      <c r="DU1" s="18">
        <v>125</v>
      </c>
      <c r="DV1" s="18">
        <v>126</v>
      </c>
      <c r="DW1" s="18">
        <v>127</v>
      </c>
      <c r="DX1" s="18">
        <v>128</v>
      </c>
      <c r="DY1" s="18">
        <v>129</v>
      </c>
      <c r="DZ1" s="18">
        <v>130</v>
      </c>
      <c r="EA1" s="18">
        <v>131</v>
      </c>
      <c r="EB1" s="18">
        <v>132</v>
      </c>
      <c r="EC1" s="18">
        <v>133</v>
      </c>
      <c r="ED1" s="63">
        <v>134</v>
      </c>
    </row>
    <row r="2" spans="1:134" x14ac:dyDescent="0.2">
      <c r="F2" s="172" t="s">
        <v>178</v>
      </c>
      <c r="G2" s="172"/>
      <c r="H2" s="172"/>
      <c r="I2" s="172"/>
      <c r="J2" s="172"/>
      <c r="K2" s="172"/>
      <c r="L2" s="172"/>
      <c r="T2" s="172" t="s">
        <v>240</v>
      </c>
      <c r="U2" s="172"/>
      <c r="V2" s="172"/>
      <c r="W2" s="172"/>
      <c r="X2" s="172"/>
      <c r="Y2" s="172"/>
      <c r="Z2" s="172"/>
      <c r="AA2" s="172"/>
      <c r="AB2" s="172"/>
      <c r="AC2" s="172"/>
      <c r="AD2" s="172"/>
      <c r="AE2" s="172"/>
      <c r="AF2" s="172"/>
      <c r="AG2" s="172"/>
      <c r="AH2" s="172"/>
      <c r="AI2" s="172"/>
      <c r="AJ2" s="172"/>
      <c r="AK2" s="172"/>
      <c r="AL2" s="172"/>
      <c r="AM2" s="172"/>
      <c r="AN2" s="172"/>
      <c r="AO2" s="172"/>
      <c r="AP2" s="172"/>
      <c r="AQ2" s="172"/>
      <c r="AR2" s="172"/>
      <c r="AS2" s="172"/>
      <c r="AT2" s="172"/>
      <c r="AU2" s="172"/>
      <c r="AV2" s="172"/>
      <c r="AW2" s="172"/>
      <c r="AX2" s="172"/>
      <c r="AY2" s="172"/>
      <c r="AZ2" s="172"/>
      <c r="BA2" s="172"/>
      <c r="BB2" s="172"/>
      <c r="BC2" s="172"/>
      <c r="BD2" s="172"/>
      <c r="BE2" s="172"/>
      <c r="BF2" s="172"/>
      <c r="BG2" s="172"/>
      <c r="BH2" s="172"/>
      <c r="BI2" s="172"/>
      <c r="BJ2" s="172"/>
      <c r="BK2" s="172"/>
      <c r="BL2" s="172"/>
      <c r="BM2" s="172"/>
      <c r="BN2" s="172"/>
      <c r="BO2" s="172"/>
      <c r="BP2" s="172"/>
      <c r="BQ2" s="172"/>
      <c r="BR2" s="172"/>
      <c r="BS2" s="172"/>
      <c r="BT2" s="172"/>
      <c r="BU2" s="172"/>
      <c r="BV2" s="172"/>
      <c r="BW2" s="172"/>
      <c r="BX2" s="172"/>
      <c r="BY2" s="172" t="s">
        <v>59</v>
      </c>
      <c r="BZ2" s="172"/>
      <c r="CA2" s="172"/>
      <c r="CB2" s="172"/>
      <c r="CC2" s="172"/>
      <c r="CD2" s="172"/>
      <c r="CE2" s="172"/>
      <c r="CF2" s="172"/>
      <c r="CG2" s="172"/>
      <c r="CH2" s="172"/>
      <c r="CI2" s="172"/>
      <c r="CJ2" s="172"/>
      <c r="CK2" s="172"/>
      <c r="CL2" s="172"/>
      <c r="CM2" s="172"/>
      <c r="CN2" s="172"/>
      <c r="CO2" s="172"/>
      <c r="CP2" s="172"/>
      <c r="CQ2" s="172"/>
      <c r="CR2" s="172"/>
      <c r="CS2" s="172"/>
      <c r="CT2" s="172"/>
      <c r="CU2" s="172"/>
      <c r="CV2" s="172"/>
      <c r="CW2" s="172"/>
      <c r="CX2" s="172"/>
      <c r="CY2" s="172"/>
      <c r="CZ2" s="172"/>
      <c r="DA2" s="172"/>
      <c r="DB2" s="172"/>
      <c r="DC2" s="172"/>
      <c r="DD2" s="172"/>
      <c r="DE2" s="172"/>
      <c r="DF2" s="172"/>
      <c r="DG2" s="172"/>
      <c r="DH2" s="172"/>
      <c r="DI2" s="172"/>
      <c r="DJ2" s="172"/>
      <c r="DK2" s="172"/>
      <c r="DL2" s="172"/>
      <c r="DM2" s="172"/>
      <c r="DN2" s="172"/>
      <c r="DO2" s="172"/>
      <c r="DP2" s="172"/>
      <c r="DQ2" s="172"/>
      <c r="DR2" s="172"/>
      <c r="DS2" s="172"/>
      <c r="DT2" s="172"/>
      <c r="DU2" s="172"/>
      <c r="DV2" s="172"/>
      <c r="DW2" s="172"/>
      <c r="DX2" s="172"/>
      <c r="DY2" s="172"/>
      <c r="DZ2" s="172"/>
    </row>
    <row r="3" spans="1:134" x14ac:dyDescent="0.2">
      <c r="C3" s="18">
        <v>2020</v>
      </c>
      <c r="D3" s="18">
        <v>2020</v>
      </c>
      <c r="E3" s="18">
        <v>2020</v>
      </c>
      <c r="F3" s="18">
        <v>2020</v>
      </c>
      <c r="G3" s="18">
        <v>2020</v>
      </c>
      <c r="H3" s="18">
        <v>2020</v>
      </c>
      <c r="I3" s="18">
        <v>2020</v>
      </c>
      <c r="J3" s="18">
        <v>2020</v>
      </c>
      <c r="K3" s="18">
        <v>2020</v>
      </c>
      <c r="L3" s="18">
        <v>2020</v>
      </c>
      <c r="M3" s="18">
        <v>2020</v>
      </c>
      <c r="N3" s="18">
        <v>2020</v>
      </c>
      <c r="O3" s="18">
        <v>2021</v>
      </c>
      <c r="P3" s="18">
        <v>2021</v>
      </c>
      <c r="Q3" s="18">
        <v>2021</v>
      </c>
      <c r="R3" s="18">
        <v>2020</v>
      </c>
      <c r="S3" s="18">
        <v>2020</v>
      </c>
      <c r="T3" s="18">
        <v>2020</v>
      </c>
      <c r="U3" s="18">
        <v>2020</v>
      </c>
      <c r="V3" s="18">
        <v>2020</v>
      </c>
      <c r="W3" s="18">
        <v>2020</v>
      </c>
      <c r="X3" s="18">
        <v>2020</v>
      </c>
      <c r="Y3" s="18">
        <v>2020</v>
      </c>
      <c r="Z3" s="18">
        <v>2020</v>
      </c>
      <c r="AA3" s="18">
        <v>2020</v>
      </c>
      <c r="AB3" s="18">
        <v>2020</v>
      </c>
      <c r="AC3" s="18">
        <v>2020</v>
      </c>
      <c r="AD3" s="18">
        <v>2020</v>
      </c>
      <c r="AE3" s="18">
        <v>2020</v>
      </c>
      <c r="AF3" s="18">
        <v>2020</v>
      </c>
      <c r="AG3" s="18">
        <v>2020</v>
      </c>
      <c r="AH3" s="18">
        <v>2020</v>
      </c>
      <c r="AI3" s="18">
        <v>2020</v>
      </c>
      <c r="AJ3" s="18">
        <v>2020</v>
      </c>
      <c r="AK3" s="18">
        <v>2020</v>
      </c>
      <c r="AL3" s="18">
        <v>2020</v>
      </c>
      <c r="AM3" s="18">
        <v>2020</v>
      </c>
      <c r="AN3" s="18">
        <v>2020</v>
      </c>
      <c r="AO3" s="18">
        <v>2020</v>
      </c>
      <c r="AP3" s="18">
        <v>2020</v>
      </c>
      <c r="AQ3" s="18">
        <v>2020</v>
      </c>
      <c r="AR3" s="18">
        <v>2020</v>
      </c>
      <c r="AS3" s="18">
        <v>2020</v>
      </c>
      <c r="AT3" s="18">
        <v>2020</v>
      </c>
      <c r="AU3" s="18">
        <v>2020</v>
      </c>
      <c r="AV3" s="18">
        <v>2020</v>
      </c>
      <c r="AW3" s="18">
        <v>2020</v>
      </c>
      <c r="AX3" s="18">
        <v>2020</v>
      </c>
      <c r="AY3" s="18">
        <v>2020</v>
      </c>
      <c r="AZ3" s="18">
        <v>2020</v>
      </c>
      <c r="BA3" s="18">
        <v>2020</v>
      </c>
      <c r="BB3" s="18">
        <v>2020</v>
      </c>
      <c r="BC3" s="18">
        <v>2020</v>
      </c>
      <c r="BD3" s="18">
        <v>2020</v>
      </c>
      <c r="BE3" s="18">
        <v>2020</v>
      </c>
      <c r="BF3" s="18">
        <v>2020</v>
      </c>
      <c r="BG3" s="18">
        <v>2020</v>
      </c>
      <c r="BH3" s="18">
        <v>2020</v>
      </c>
      <c r="BI3" s="18">
        <v>2020</v>
      </c>
      <c r="BJ3" s="18">
        <v>2020</v>
      </c>
      <c r="BK3" s="18">
        <v>2020</v>
      </c>
      <c r="BL3" s="18">
        <v>2020</v>
      </c>
      <c r="BM3" s="18">
        <v>2020</v>
      </c>
      <c r="BN3" s="18">
        <v>2020</v>
      </c>
      <c r="BO3" s="18">
        <v>2020</v>
      </c>
      <c r="BP3" s="18">
        <v>2020</v>
      </c>
      <c r="BQ3" s="18">
        <v>2020</v>
      </c>
      <c r="BR3" s="18">
        <v>2020</v>
      </c>
      <c r="BS3" s="18">
        <v>2020</v>
      </c>
      <c r="BT3" s="18">
        <v>2020</v>
      </c>
      <c r="BU3" s="18">
        <v>2020</v>
      </c>
      <c r="BV3" s="18">
        <v>2020</v>
      </c>
      <c r="BW3" s="18">
        <v>2020</v>
      </c>
      <c r="BX3" s="18">
        <v>2020</v>
      </c>
      <c r="BY3" s="18">
        <v>2021</v>
      </c>
      <c r="BZ3" s="18">
        <v>2021</v>
      </c>
      <c r="CA3" s="18">
        <v>2021</v>
      </c>
      <c r="CB3" s="18">
        <v>2021</v>
      </c>
      <c r="CC3" s="18">
        <v>2021</v>
      </c>
      <c r="CD3" s="18">
        <v>2021</v>
      </c>
      <c r="CE3" s="18">
        <v>2021</v>
      </c>
      <c r="CF3" s="18">
        <v>2021</v>
      </c>
      <c r="CG3" s="18">
        <v>2021</v>
      </c>
      <c r="CH3" s="18">
        <v>2021</v>
      </c>
      <c r="CI3" s="18">
        <v>2021</v>
      </c>
      <c r="CJ3" s="18">
        <v>2021</v>
      </c>
      <c r="CK3" s="18">
        <v>2021</v>
      </c>
      <c r="CL3" s="18">
        <v>2021</v>
      </c>
      <c r="CM3" s="18">
        <v>2021</v>
      </c>
      <c r="CN3" s="18">
        <v>2021</v>
      </c>
      <c r="CO3" s="18">
        <v>2021</v>
      </c>
      <c r="CP3" s="18">
        <v>2021</v>
      </c>
      <c r="CQ3" s="18">
        <v>2021</v>
      </c>
      <c r="CR3" s="18">
        <v>2021</v>
      </c>
      <c r="CS3" s="18">
        <v>2021</v>
      </c>
      <c r="CT3" s="18">
        <v>2021</v>
      </c>
      <c r="CU3" s="18">
        <v>2021</v>
      </c>
      <c r="CV3" s="18">
        <v>2021</v>
      </c>
      <c r="CW3" s="18">
        <v>2021</v>
      </c>
      <c r="CX3" s="18">
        <v>2021</v>
      </c>
      <c r="CY3" s="18">
        <v>2021</v>
      </c>
      <c r="CZ3" s="18">
        <v>2021</v>
      </c>
      <c r="DA3" s="18">
        <v>2021</v>
      </c>
      <c r="DB3" s="18">
        <v>2021</v>
      </c>
      <c r="DC3" s="18">
        <v>2021</v>
      </c>
      <c r="DD3" s="18">
        <v>2021</v>
      </c>
      <c r="DE3" s="18">
        <v>2021</v>
      </c>
      <c r="DF3" s="18">
        <v>2021</v>
      </c>
      <c r="DG3" s="18">
        <v>2021</v>
      </c>
      <c r="DH3" s="18">
        <v>2021</v>
      </c>
      <c r="DI3" s="18">
        <v>2021</v>
      </c>
      <c r="DJ3" s="18">
        <v>2021</v>
      </c>
      <c r="DK3" s="18">
        <v>2021</v>
      </c>
      <c r="DL3" s="18">
        <v>2021</v>
      </c>
      <c r="DM3" s="18">
        <v>2021</v>
      </c>
      <c r="DN3" s="18">
        <v>2021</v>
      </c>
      <c r="DO3" s="18">
        <v>2021</v>
      </c>
      <c r="DP3" s="18">
        <v>2021</v>
      </c>
      <c r="DQ3" s="18">
        <v>2021</v>
      </c>
      <c r="DR3" s="18">
        <v>2021</v>
      </c>
      <c r="DS3" s="18">
        <v>2021</v>
      </c>
      <c r="DT3" s="18">
        <v>2021</v>
      </c>
      <c r="DU3" s="18">
        <v>2021</v>
      </c>
      <c r="DV3" s="18">
        <v>2021</v>
      </c>
      <c r="DW3" s="18">
        <v>2021</v>
      </c>
      <c r="DX3" s="18">
        <v>2021</v>
      </c>
      <c r="DY3" s="18">
        <v>2021</v>
      </c>
      <c r="DZ3" s="18">
        <v>2021</v>
      </c>
    </row>
    <row r="4" spans="1:134" ht="51" x14ac:dyDescent="0.2">
      <c r="B4" s="18" t="s">
        <v>33</v>
      </c>
      <c r="C4" s="17" t="s">
        <v>180</v>
      </c>
      <c r="D4" s="17" t="s">
        <v>177</v>
      </c>
      <c r="E4" s="17" t="s">
        <v>176</v>
      </c>
      <c r="F4" s="17" t="s">
        <v>183</v>
      </c>
      <c r="G4" s="17" t="s">
        <v>242</v>
      </c>
      <c r="H4" s="17" t="s">
        <v>181</v>
      </c>
      <c r="I4" s="17" t="s">
        <v>182</v>
      </c>
      <c r="J4" s="17" t="s">
        <v>239</v>
      </c>
      <c r="K4" s="17" t="s">
        <v>56</v>
      </c>
      <c r="L4" s="17" t="s">
        <v>54</v>
      </c>
      <c r="M4" s="17" t="s">
        <v>179</v>
      </c>
      <c r="N4" s="56" t="s">
        <v>278</v>
      </c>
      <c r="O4" s="56" t="s">
        <v>281</v>
      </c>
      <c r="P4" s="56" t="s">
        <v>280</v>
      </c>
      <c r="Q4" s="18" t="s">
        <v>274</v>
      </c>
      <c r="R4" s="18" t="s">
        <v>275</v>
      </c>
      <c r="S4" s="18" t="s">
        <v>273</v>
      </c>
      <c r="T4" s="18" t="s">
        <v>184</v>
      </c>
      <c r="U4" s="18" t="s">
        <v>185</v>
      </c>
      <c r="V4" s="18" t="s">
        <v>186</v>
      </c>
      <c r="W4" s="18" t="s">
        <v>187</v>
      </c>
      <c r="X4" s="18" t="s">
        <v>188</v>
      </c>
      <c r="Y4" s="18" t="s">
        <v>189</v>
      </c>
      <c r="Z4" s="18" t="s">
        <v>190</v>
      </c>
      <c r="AA4" s="18" t="s">
        <v>191</v>
      </c>
      <c r="AB4" s="18" t="s">
        <v>192</v>
      </c>
      <c r="AC4" s="18" t="s">
        <v>193</v>
      </c>
      <c r="AD4" s="18" t="s">
        <v>194</v>
      </c>
      <c r="AE4" s="18" t="s">
        <v>195</v>
      </c>
      <c r="AF4" s="18" t="s">
        <v>200</v>
      </c>
      <c r="AG4" s="18" t="s">
        <v>201</v>
      </c>
      <c r="AH4" s="18" t="s">
        <v>196</v>
      </c>
      <c r="AI4" s="18" t="s">
        <v>197</v>
      </c>
      <c r="AJ4" s="18" t="s">
        <v>198</v>
      </c>
      <c r="AK4" s="18" t="s">
        <v>199</v>
      </c>
      <c r="AL4" s="18" t="s">
        <v>202</v>
      </c>
      <c r="AM4" s="18" t="s">
        <v>203</v>
      </c>
      <c r="AN4" s="18" t="s">
        <v>204</v>
      </c>
      <c r="AO4" s="18" t="s">
        <v>205</v>
      </c>
      <c r="AP4" s="18" t="s">
        <v>206</v>
      </c>
      <c r="AQ4" s="18" t="s">
        <v>207</v>
      </c>
      <c r="AR4" s="18" t="s">
        <v>208</v>
      </c>
      <c r="AS4" s="18" t="s">
        <v>209</v>
      </c>
      <c r="AT4" s="18" t="s">
        <v>210</v>
      </c>
      <c r="AU4" s="18" t="s">
        <v>211</v>
      </c>
      <c r="AV4" s="18" t="s">
        <v>212</v>
      </c>
      <c r="AW4" s="18" t="s">
        <v>213</v>
      </c>
      <c r="AX4" s="18" t="s">
        <v>214</v>
      </c>
      <c r="AY4" s="18" t="s">
        <v>215</v>
      </c>
      <c r="AZ4" s="18" t="s">
        <v>216</v>
      </c>
      <c r="BA4" s="18" t="s">
        <v>217</v>
      </c>
      <c r="BB4" s="18" t="s">
        <v>218</v>
      </c>
      <c r="BC4" s="18" t="s">
        <v>219</v>
      </c>
      <c r="BD4" s="18" t="s">
        <v>220</v>
      </c>
      <c r="BE4" s="18" t="s">
        <v>202</v>
      </c>
      <c r="BF4" s="18" t="s">
        <v>221</v>
      </c>
      <c r="BG4" s="18" t="s">
        <v>222</v>
      </c>
      <c r="BH4" s="18" t="s">
        <v>223</v>
      </c>
      <c r="BI4" s="18" t="s">
        <v>224</v>
      </c>
      <c r="BJ4" s="18" t="s">
        <v>225</v>
      </c>
      <c r="BK4" s="18" t="s">
        <v>226</v>
      </c>
      <c r="BL4" s="18" t="s">
        <v>227</v>
      </c>
      <c r="BM4" s="18" t="s">
        <v>228</v>
      </c>
      <c r="BN4" s="18" t="s">
        <v>229</v>
      </c>
      <c r="BO4" s="18" t="s">
        <v>230</v>
      </c>
      <c r="BP4" s="18" t="s">
        <v>231</v>
      </c>
      <c r="BQ4" s="18" t="s">
        <v>232</v>
      </c>
      <c r="BR4" s="18" t="s">
        <v>233</v>
      </c>
      <c r="BS4" s="18" t="s">
        <v>234</v>
      </c>
      <c r="BT4" s="18" t="s">
        <v>235</v>
      </c>
      <c r="BU4" s="18" t="s">
        <v>236</v>
      </c>
      <c r="BV4" s="18" t="s">
        <v>237</v>
      </c>
      <c r="BW4" s="18" t="s">
        <v>238</v>
      </c>
      <c r="BX4" s="18" t="s">
        <v>202</v>
      </c>
      <c r="BY4" s="18" t="s">
        <v>36</v>
      </c>
      <c r="BZ4" s="18" t="s">
        <v>175</v>
      </c>
      <c r="CA4" s="18" t="s">
        <v>174</v>
      </c>
      <c r="CB4" s="18" t="s">
        <v>299</v>
      </c>
      <c r="CC4" s="18" t="s">
        <v>300</v>
      </c>
      <c r="CD4" s="18" t="s">
        <v>301</v>
      </c>
      <c r="CE4" s="18" t="s">
        <v>302</v>
      </c>
      <c r="CF4" s="18" t="s">
        <v>303</v>
      </c>
      <c r="CG4" s="18" t="s">
        <v>304</v>
      </c>
      <c r="CH4" s="18" t="s">
        <v>305</v>
      </c>
      <c r="CI4" s="18" t="s">
        <v>306</v>
      </c>
      <c r="CJ4" s="18" t="s">
        <v>307</v>
      </c>
      <c r="CK4" s="18" t="s">
        <v>308</v>
      </c>
      <c r="CL4" s="18" t="s">
        <v>309</v>
      </c>
      <c r="CM4" s="18" t="s">
        <v>310</v>
      </c>
      <c r="CN4" s="18" t="s">
        <v>311</v>
      </c>
      <c r="CO4" s="18" t="s">
        <v>312</v>
      </c>
      <c r="CP4" s="18" t="s">
        <v>313</v>
      </c>
      <c r="CQ4" s="18" t="s">
        <v>314</v>
      </c>
      <c r="CR4" s="18" t="s">
        <v>315</v>
      </c>
      <c r="CS4" s="18" t="s">
        <v>282</v>
      </c>
      <c r="CT4" s="18" t="s">
        <v>283</v>
      </c>
      <c r="CU4" s="18" t="s">
        <v>284</v>
      </c>
      <c r="CV4" s="18" t="s">
        <v>285</v>
      </c>
      <c r="CW4" s="18" t="s">
        <v>286</v>
      </c>
      <c r="CX4" s="18" t="s">
        <v>287</v>
      </c>
      <c r="CY4" s="18" t="s">
        <v>288</v>
      </c>
      <c r="CZ4" s="18" t="s">
        <v>289</v>
      </c>
      <c r="DA4" s="18" t="s">
        <v>290</v>
      </c>
      <c r="DB4" s="18" t="s">
        <v>291</v>
      </c>
      <c r="DC4" s="18" t="s">
        <v>292</v>
      </c>
      <c r="DD4" s="18" t="s">
        <v>293</v>
      </c>
      <c r="DE4" s="18" t="s">
        <v>294</v>
      </c>
      <c r="DF4" s="18" t="s">
        <v>295</v>
      </c>
      <c r="DG4" s="18" t="s">
        <v>296</v>
      </c>
      <c r="DH4" s="18" t="s">
        <v>297</v>
      </c>
      <c r="DI4" s="18" t="s">
        <v>298</v>
      </c>
      <c r="DJ4" s="18" t="s">
        <v>316</v>
      </c>
      <c r="DK4" s="18" t="s">
        <v>317</v>
      </c>
      <c r="DL4" s="18" t="s">
        <v>318</v>
      </c>
      <c r="DM4" s="18" t="s">
        <v>319</v>
      </c>
      <c r="DN4" s="18" t="s">
        <v>320</v>
      </c>
      <c r="DO4" s="18" t="s">
        <v>321</v>
      </c>
      <c r="DP4" s="18" t="s">
        <v>322</v>
      </c>
      <c r="DQ4" s="18" t="s">
        <v>323</v>
      </c>
      <c r="DR4" s="18" t="s">
        <v>324</v>
      </c>
      <c r="DS4" s="18" t="s">
        <v>325</v>
      </c>
      <c r="DT4" s="18" t="s">
        <v>326</v>
      </c>
      <c r="DU4" s="18" t="s">
        <v>327</v>
      </c>
      <c r="DV4" s="18" t="s">
        <v>328</v>
      </c>
      <c r="DW4" s="18" t="s">
        <v>329</v>
      </c>
      <c r="DX4" s="18" t="s">
        <v>330</v>
      </c>
      <c r="DY4" s="18" t="s">
        <v>331</v>
      </c>
      <c r="DZ4" s="18" t="s">
        <v>332</v>
      </c>
      <c r="EA4" s="18" t="s">
        <v>349</v>
      </c>
      <c r="EB4" s="18" t="s">
        <v>351</v>
      </c>
      <c r="EC4" s="18" t="s">
        <v>350</v>
      </c>
      <c r="ED4" s="63" t="s">
        <v>385</v>
      </c>
    </row>
    <row r="5" spans="1:134" ht="51" x14ac:dyDescent="0.2">
      <c r="A5" s="18">
        <v>1</v>
      </c>
      <c r="B5" s="18" t="s">
        <v>0</v>
      </c>
      <c r="C5" s="59">
        <v>5615.67</v>
      </c>
      <c r="D5" s="57">
        <f>C5/$C$37*100</f>
        <v>0.28641922793853253</v>
      </c>
      <c r="E5" s="18">
        <v>11</v>
      </c>
      <c r="F5" s="58">
        <v>1425607</v>
      </c>
      <c r="G5" s="64">
        <f>F5/$F$37</f>
        <v>1.1313082105845616E-2</v>
      </c>
      <c r="H5" s="58">
        <v>728924</v>
      </c>
      <c r="I5" s="58">
        <v>696683</v>
      </c>
      <c r="J5" s="60">
        <v>15.9157467661</v>
      </c>
      <c r="K5" s="58">
        <f>(J5/100)*F5</f>
        <v>226895.99999979523</v>
      </c>
      <c r="L5" s="58">
        <f>F5-K5</f>
        <v>1198711.0000002049</v>
      </c>
      <c r="M5" s="60">
        <v>253.86230853110001</v>
      </c>
      <c r="N5" s="60">
        <v>76.010000000000005</v>
      </c>
      <c r="O5" s="60">
        <v>79</v>
      </c>
      <c r="P5" s="60">
        <v>73.06</v>
      </c>
      <c r="Q5" s="18">
        <v>27</v>
      </c>
      <c r="R5" s="18">
        <v>28</v>
      </c>
      <c r="S5" s="18">
        <v>26</v>
      </c>
      <c r="T5" s="58">
        <v>61452</v>
      </c>
      <c r="U5" s="58">
        <v>64689</v>
      </c>
      <c r="V5" s="58">
        <v>63637</v>
      </c>
      <c r="W5" s="58">
        <v>65064</v>
      </c>
      <c r="X5" s="58">
        <v>63866</v>
      </c>
      <c r="Y5" s="58">
        <v>60285</v>
      </c>
      <c r="Z5" s="58">
        <v>55174</v>
      </c>
      <c r="AA5" s="58">
        <v>51483</v>
      </c>
      <c r="AB5" s="58">
        <v>48539</v>
      </c>
      <c r="AC5" s="58">
        <v>44506</v>
      </c>
      <c r="AD5" s="58">
        <v>39510</v>
      </c>
      <c r="AE5" s="58">
        <v>31257</v>
      </c>
      <c r="AF5" s="58">
        <v>25871</v>
      </c>
      <c r="AG5" s="58">
        <v>19125</v>
      </c>
      <c r="AH5" s="58">
        <v>13804</v>
      </c>
      <c r="AI5" s="58">
        <v>8842</v>
      </c>
      <c r="AJ5" s="58">
        <v>5789</v>
      </c>
      <c r="AK5" s="58">
        <v>5272</v>
      </c>
      <c r="AL5" s="58">
        <v>759</v>
      </c>
      <c r="AM5" s="58">
        <v>62978</v>
      </c>
      <c r="AN5" s="58">
        <v>66359</v>
      </c>
      <c r="AO5" s="58">
        <v>66080</v>
      </c>
      <c r="AP5" s="58">
        <v>66903</v>
      </c>
      <c r="AQ5" s="58">
        <v>63154</v>
      </c>
      <c r="AR5" s="58">
        <v>58141</v>
      </c>
      <c r="AS5" s="58">
        <v>51651</v>
      </c>
      <c r="AT5" s="58">
        <v>47774</v>
      </c>
      <c r="AU5" s="58">
        <v>43839</v>
      </c>
      <c r="AV5" s="58">
        <v>40163</v>
      </c>
      <c r="AW5" s="58">
        <v>34611</v>
      </c>
      <c r="AX5" s="58">
        <v>27608</v>
      </c>
      <c r="AY5" s="58">
        <v>22435</v>
      </c>
      <c r="AZ5" s="58">
        <v>16698</v>
      </c>
      <c r="BA5" s="58">
        <v>11782</v>
      </c>
      <c r="BB5" s="58">
        <v>7739</v>
      </c>
      <c r="BC5" s="58">
        <v>4397</v>
      </c>
      <c r="BD5" s="58">
        <v>3622</v>
      </c>
      <c r="BE5" s="58">
        <v>749</v>
      </c>
      <c r="BF5" s="58">
        <f>T5+AM5</f>
        <v>124430</v>
      </c>
      <c r="BG5" s="58">
        <f t="shared" ref="BG5:BX5" si="0">U5+AN5</f>
        <v>131048</v>
      </c>
      <c r="BH5" s="58">
        <f t="shared" si="0"/>
        <v>129717</v>
      </c>
      <c r="BI5" s="58">
        <f t="shared" si="0"/>
        <v>131967</v>
      </c>
      <c r="BJ5" s="58">
        <f t="shared" si="0"/>
        <v>127020</v>
      </c>
      <c r="BK5" s="58">
        <f t="shared" si="0"/>
        <v>118426</v>
      </c>
      <c r="BL5" s="58">
        <f t="shared" si="0"/>
        <v>106825</v>
      </c>
      <c r="BM5" s="58">
        <f t="shared" si="0"/>
        <v>99257</v>
      </c>
      <c r="BN5" s="58">
        <f t="shared" si="0"/>
        <v>92378</v>
      </c>
      <c r="BO5" s="58">
        <f t="shared" si="0"/>
        <v>84669</v>
      </c>
      <c r="BP5" s="58">
        <f t="shared" si="0"/>
        <v>74121</v>
      </c>
      <c r="BQ5" s="58">
        <f t="shared" si="0"/>
        <v>58865</v>
      </c>
      <c r="BR5" s="58">
        <f t="shared" si="0"/>
        <v>48306</v>
      </c>
      <c r="BS5" s="58">
        <f t="shared" si="0"/>
        <v>35823</v>
      </c>
      <c r="BT5" s="58">
        <f t="shared" si="0"/>
        <v>25586</v>
      </c>
      <c r="BU5" s="58">
        <f t="shared" si="0"/>
        <v>16581</v>
      </c>
      <c r="BV5" s="58">
        <f t="shared" si="0"/>
        <v>10186</v>
      </c>
      <c r="BW5" s="58">
        <f t="shared" si="0"/>
        <v>8894</v>
      </c>
      <c r="BX5" s="58">
        <f t="shared" si="0"/>
        <v>1508</v>
      </c>
      <c r="BY5" s="58">
        <v>1017420</v>
      </c>
      <c r="BZ5" s="58">
        <v>525189</v>
      </c>
      <c r="CA5" s="58">
        <v>492231</v>
      </c>
      <c r="CB5" s="58">
        <v>10320</v>
      </c>
      <c r="CC5" s="58">
        <v>12403</v>
      </c>
      <c r="CD5" s="58">
        <v>65290</v>
      </c>
      <c r="CE5" s="58">
        <v>65319</v>
      </c>
      <c r="CF5" s="58">
        <v>58157</v>
      </c>
      <c r="CG5" s="58">
        <v>53430</v>
      </c>
      <c r="CH5" s="58">
        <v>49848</v>
      </c>
      <c r="CI5" s="58">
        <v>48144</v>
      </c>
      <c r="CJ5" s="58">
        <v>41237</v>
      </c>
      <c r="CK5" s="58">
        <v>34811</v>
      </c>
      <c r="CL5" s="58">
        <v>27946</v>
      </c>
      <c r="CM5" s="58">
        <v>20927</v>
      </c>
      <c r="CN5" s="58">
        <v>15090</v>
      </c>
      <c r="CO5" s="58">
        <v>10156</v>
      </c>
      <c r="CP5" s="58">
        <v>6219</v>
      </c>
      <c r="CQ5" s="58">
        <v>5892</v>
      </c>
      <c r="CR5" s="58">
        <v>525189</v>
      </c>
      <c r="CS5" s="58">
        <v>10265</v>
      </c>
      <c r="CT5" s="58">
        <v>12479</v>
      </c>
      <c r="CU5" s="58">
        <v>65812</v>
      </c>
      <c r="CV5" s="58">
        <v>65836</v>
      </c>
      <c r="CW5" s="58">
        <v>56901</v>
      </c>
      <c r="CX5" s="58">
        <v>51267</v>
      </c>
      <c r="CY5" s="58">
        <v>46252</v>
      </c>
      <c r="CZ5" s="58">
        <v>44075</v>
      </c>
      <c r="DA5" s="58">
        <v>36623</v>
      </c>
      <c r="DB5" s="58">
        <v>30612</v>
      </c>
      <c r="DC5" s="58">
        <v>24349</v>
      </c>
      <c r="DD5" s="58">
        <v>18074</v>
      </c>
      <c r="DE5" s="58">
        <v>12847</v>
      </c>
      <c r="DF5" s="58">
        <v>8424</v>
      </c>
      <c r="DG5" s="58">
        <v>4582</v>
      </c>
      <c r="DH5" s="58">
        <v>3833</v>
      </c>
      <c r="DI5" s="58">
        <v>492231</v>
      </c>
      <c r="DJ5" s="58">
        <v>20585</v>
      </c>
      <c r="DK5" s="58">
        <v>24882</v>
      </c>
      <c r="DL5" s="58">
        <v>131102</v>
      </c>
      <c r="DM5" s="58">
        <v>131155</v>
      </c>
      <c r="DN5" s="58">
        <v>115058</v>
      </c>
      <c r="DO5" s="58">
        <v>104697</v>
      </c>
      <c r="DP5" s="58">
        <v>96100</v>
      </c>
      <c r="DQ5" s="58">
        <v>92219</v>
      </c>
      <c r="DR5" s="58">
        <v>77860</v>
      </c>
      <c r="DS5" s="58">
        <v>65423</v>
      </c>
      <c r="DT5" s="58">
        <v>52295</v>
      </c>
      <c r="DU5" s="58">
        <v>39001</v>
      </c>
      <c r="DV5" s="58">
        <v>27937</v>
      </c>
      <c r="DW5" s="58">
        <v>18580</v>
      </c>
      <c r="DX5" s="58">
        <v>10801</v>
      </c>
      <c r="DY5" s="58">
        <v>9725</v>
      </c>
      <c r="DZ5" s="139">
        <v>1017420</v>
      </c>
      <c r="EA5" s="18">
        <f>_xlfn.RANK.EQ(C5,$C$5:$C$36)</f>
        <v>29</v>
      </c>
      <c r="EB5" s="18">
        <f>_xlfn.RANK.EQ(E5,$E$5:$E$36,0)</f>
        <v>28</v>
      </c>
      <c r="EC5" s="63">
        <f>_xlfn.RANK.EQ(M5,$M$5:$M$36)</f>
        <v>5</v>
      </c>
      <c r="ED5" s="18" t="s">
        <v>355</v>
      </c>
    </row>
    <row r="6" spans="1:134" ht="40.799999999999997" x14ac:dyDescent="0.2">
      <c r="A6" s="18">
        <v>2</v>
      </c>
      <c r="B6" s="18" t="s">
        <v>1</v>
      </c>
      <c r="C6" s="59">
        <v>71450</v>
      </c>
      <c r="D6" s="57">
        <f t="shared" ref="D6:D37" si="1">C6/$C$37*100</f>
        <v>3.6442052036904142</v>
      </c>
      <c r="E6" s="18">
        <v>7</v>
      </c>
      <c r="F6" s="58">
        <v>3769020</v>
      </c>
      <c r="G6" s="64">
        <f t="shared" ref="G6:G37" si="2">F6/$F$37</f>
        <v>2.9909528164896948E-2</v>
      </c>
      <c r="H6" s="58">
        <v>1868431</v>
      </c>
      <c r="I6" s="58">
        <v>1900589</v>
      </c>
      <c r="J6" s="60">
        <v>6.3353338533999999</v>
      </c>
      <c r="K6" s="58">
        <f t="shared" ref="K6:K37" si="3">(J6/100)*F6</f>
        <v>238780.00000141666</v>
      </c>
      <c r="L6" s="58">
        <f t="shared" ref="L6:L37" si="4">F6-K6</f>
        <v>3530239.9999985835</v>
      </c>
      <c r="M6" s="60">
        <v>52.750458698300001</v>
      </c>
      <c r="N6" s="60">
        <v>76.069999999999993</v>
      </c>
      <c r="O6" s="60">
        <v>79.28</v>
      </c>
      <c r="P6" s="60">
        <v>73.06</v>
      </c>
      <c r="Q6" s="18">
        <v>30</v>
      </c>
      <c r="R6" s="18">
        <v>30</v>
      </c>
      <c r="S6" s="18">
        <v>30</v>
      </c>
      <c r="T6" s="58">
        <v>131891</v>
      </c>
      <c r="U6" s="58">
        <v>147045</v>
      </c>
      <c r="V6" s="58">
        <v>153042</v>
      </c>
      <c r="W6" s="58">
        <v>154341</v>
      </c>
      <c r="X6" s="58">
        <v>166909</v>
      </c>
      <c r="Y6" s="58">
        <v>161994</v>
      </c>
      <c r="Z6" s="58">
        <v>150225</v>
      </c>
      <c r="AA6" s="58">
        <v>143900</v>
      </c>
      <c r="AB6" s="58">
        <v>135279</v>
      </c>
      <c r="AC6" s="58">
        <v>126657</v>
      </c>
      <c r="AD6" s="58">
        <v>108599</v>
      </c>
      <c r="AE6" s="58">
        <v>83875</v>
      </c>
      <c r="AF6" s="58">
        <v>68735</v>
      </c>
      <c r="AG6" s="58">
        <v>49722</v>
      </c>
      <c r="AH6" s="58">
        <v>34613</v>
      </c>
      <c r="AI6" s="58">
        <v>22041</v>
      </c>
      <c r="AJ6" s="58">
        <v>14144</v>
      </c>
      <c r="AK6" s="58">
        <v>11296</v>
      </c>
      <c r="AL6" s="58">
        <v>4123</v>
      </c>
      <c r="AM6" s="58">
        <v>134410</v>
      </c>
      <c r="AN6" s="58">
        <v>152609</v>
      </c>
      <c r="AO6" s="58">
        <v>159306</v>
      </c>
      <c r="AP6" s="58">
        <v>161298</v>
      </c>
      <c r="AQ6" s="58">
        <v>173450</v>
      </c>
      <c r="AR6" s="58">
        <v>166250</v>
      </c>
      <c r="AS6" s="58">
        <v>152164</v>
      </c>
      <c r="AT6" s="58">
        <v>148169</v>
      </c>
      <c r="AU6" s="58">
        <v>138332</v>
      </c>
      <c r="AV6" s="58">
        <v>134187</v>
      </c>
      <c r="AW6" s="58">
        <v>112789</v>
      </c>
      <c r="AX6" s="58">
        <v>84778</v>
      </c>
      <c r="AY6" s="58">
        <v>65287</v>
      </c>
      <c r="AZ6" s="58">
        <v>44982</v>
      </c>
      <c r="BA6" s="58">
        <v>30812</v>
      </c>
      <c r="BB6" s="58">
        <v>18833</v>
      </c>
      <c r="BC6" s="58">
        <v>11060</v>
      </c>
      <c r="BD6" s="58">
        <v>7777</v>
      </c>
      <c r="BE6" s="58">
        <v>4096</v>
      </c>
      <c r="BF6" s="58">
        <f t="shared" ref="BF6:BF37" si="5">T6+AM6</f>
        <v>266301</v>
      </c>
      <c r="BG6" s="58">
        <f t="shared" ref="BG6:BG37" si="6">U6+AN6</f>
        <v>299654</v>
      </c>
      <c r="BH6" s="58">
        <f t="shared" ref="BH6:BH37" si="7">V6+AO6</f>
        <v>312348</v>
      </c>
      <c r="BI6" s="58">
        <f t="shared" ref="BI6:BI37" si="8">W6+AP6</f>
        <v>315639</v>
      </c>
      <c r="BJ6" s="58">
        <f t="shared" ref="BJ6:BJ37" si="9">X6+AQ6</f>
        <v>340359</v>
      </c>
      <c r="BK6" s="58">
        <f t="shared" ref="BK6:BK37" si="10">Y6+AR6</f>
        <v>328244</v>
      </c>
      <c r="BL6" s="58">
        <f t="shared" ref="BL6:BL37" si="11">Z6+AS6</f>
        <v>302389</v>
      </c>
      <c r="BM6" s="58">
        <f t="shared" ref="BM6:BM37" si="12">AA6+AT6</f>
        <v>292069</v>
      </c>
      <c r="BN6" s="58">
        <f t="shared" ref="BN6:BN37" si="13">AB6+AU6</f>
        <v>273611</v>
      </c>
      <c r="BO6" s="58">
        <f t="shared" ref="BO6:BO37" si="14">AC6+AV6</f>
        <v>260844</v>
      </c>
      <c r="BP6" s="58">
        <f t="shared" ref="BP6:BP37" si="15">AD6+AW6</f>
        <v>221388</v>
      </c>
      <c r="BQ6" s="58">
        <f t="shared" ref="BQ6:BQ37" si="16">AE6+AX6</f>
        <v>168653</v>
      </c>
      <c r="BR6" s="58">
        <f t="shared" ref="BR6:BR37" si="17">AF6+AY6</f>
        <v>134022</v>
      </c>
      <c r="BS6" s="58">
        <f t="shared" ref="BS6:BS37" si="18">AG6+AZ6</f>
        <v>94704</v>
      </c>
      <c r="BT6" s="58">
        <f t="shared" ref="BT6:BT37" si="19">AH6+BA6</f>
        <v>65425</v>
      </c>
      <c r="BU6" s="58">
        <f t="shared" ref="BU6:BU37" si="20">AI6+BB6</f>
        <v>40874</v>
      </c>
      <c r="BV6" s="58">
        <f t="shared" ref="BV6:BV37" si="21">AJ6+BC6</f>
        <v>25204</v>
      </c>
      <c r="BW6" s="58">
        <f t="shared" ref="BW6:BW37" si="22">AK6+BD6</f>
        <v>19073</v>
      </c>
      <c r="BX6" s="58">
        <f t="shared" ref="BX6:BX37" si="23">AL6+BE6</f>
        <v>8219</v>
      </c>
      <c r="BY6" s="58">
        <v>2919208</v>
      </c>
      <c r="BZ6" s="58">
        <v>1457938</v>
      </c>
      <c r="CA6" s="58">
        <v>1461270</v>
      </c>
      <c r="CB6" s="58">
        <v>19355</v>
      </c>
      <c r="CC6" s="58">
        <v>28498</v>
      </c>
      <c r="CD6" s="58">
        <v>167754</v>
      </c>
      <c r="CE6" s="58">
        <v>172370</v>
      </c>
      <c r="CF6" s="58">
        <v>159563</v>
      </c>
      <c r="CG6" s="58">
        <v>147543</v>
      </c>
      <c r="CH6" s="58">
        <v>142868</v>
      </c>
      <c r="CI6" s="58">
        <v>143758</v>
      </c>
      <c r="CJ6" s="58">
        <v>123357</v>
      </c>
      <c r="CK6" s="58">
        <v>103546</v>
      </c>
      <c r="CL6" s="58">
        <v>82124</v>
      </c>
      <c r="CM6" s="58">
        <v>61988</v>
      </c>
      <c r="CN6" s="58">
        <v>43736</v>
      </c>
      <c r="CO6" s="58">
        <v>28977</v>
      </c>
      <c r="CP6" s="58">
        <v>17564</v>
      </c>
      <c r="CQ6" s="58">
        <v>14937</v>
      </c>
      <c r="CR6" s="58">
        <v>1457938</v>
      </c>
      <c r="CS6" s="58">
        <v>18857</v>
      </c>
      <c r="CT6" s="58">
        <v>28698</v>
      </c>
      <c r="CU6" s="58">
        <v>174704</v>
      </c>
      <c r="CV6" s="58">
        <v>182443</v>
      </c>
      <c r="CW6" s="58">
        <v>166968</v>
      </c>
      <c r="CX6" s="58">
        <v>154280</v>
      </c>
      <c r="CY6" s="58">
        <v>147029</v>
      </c>
      <c r="CZ6" s="58">
        <v>149234</v>
      </c>
      <c r="DA6" s="58">
        <v>126808</v>
      </c>
      <c r="DB6" s="58">
        <v>100510</v>
      </c>
      <c r="DC6" s="58">
        <v>75119</v>
      </c>
      <c r="DD6" s="58">
        <v>53996</v>
      </c>
      <c r="DE6" s="58">
        <v>36713</v>
      </c>
      <c r="DF6" s="58">
        <v>22971</v>
      </c>
      <c r="DG6" s="58">
        <v>13041</v>
      </c>
      <c r="DH6" s="58">
        <v>9899</v>
      </c>
      <c r="DI6" s="58">
        <v>1461270</v>
      </c>
      <c r="DJ6" s="58">
        <v>38212</v>
      </c>
      <c r="DK6" s="58">
        <v>57196</v>
      </c>
      <c r="DL6" s="58">
        <v>342458</v>
      </c>
      <c r="DM6" s="58">
        <v>354813</v>
      </c>
      <c r="DN6" s="58">
        <v>326531</v>
      </c>
      <c r="DO6" s="58">
        <v>301823</v>
      </c>
      <c r="DP6" s="58">
        <v>289897</v>
      </c>
      <c r="DQ6" s="58">
        <v>292992</v>
      </c>
      <c r="DR6" s="58">
        <v>250165</v>
      </c>
      <c r="DS6" s="58">
        <v>204056</v>
      </c>
      <c r="DT6" s="58">
        <v>157243</v>
      </c>
      <c r="DU6" s="58">
        <v>115984</v>
      </c>
      <c r="DV6" s="58">
        <v>80449</v>
      </c>
      <c r="DW6" s="58">
        <v>51948</v>
      </c>
      <c r="DX6" s="58">
        <v>30605</v>
      </c>
      <c r="DY6" s="58">
        <v>24836</v>
      </c>
      <c r="DZ6" s="139">
        <v>2919208</v>
      </c>
      <c r="EA6" s="18">
        <f t="shared" ref="EA6:EA36" si="24">_xlfn.RANK.EQ(C6,$C$5:$C$36)</f>
        <v>12</v>
      </c>
      <c r="EB6" s="18">
        <f t="shared" ref="EB6:EB37" si="25">_xlfn.RANK.EQ(E6,$E$5:$E$36,0)</f>
        <v>31</v>
      </c>
      <c r="EC6" s="63">
        <f t="shared" ref="EC6:EC37" si="26">_xlfn.RANK.EQ(M6,$M$5:$M$36)</f>
        <v>20</v>
      </c>
      <c r="ED6" s="18" t="s">
        <v>353</v>
      </c>
    </row>
    <row r="7" spans="1:134" ht="40.799999999999997" x14ac:dyDescent="0.2">
      <c r="A7" s="18">
        <v>3</v>
      </c>
      <c r="B7" s="18" t="s">
        <v>2</v>
      </c>
      <c r="C7" s="59">
        <v>73909.399999999994</v>
      </c>
      <c r="D7" s="57">
        <f t="shared" si="1"/>
        <v>3.7696433881264699</v>
      </c>
      <c r="E7" s="18">
        <v>5</v>
      </c>
      <c r="F7" s="58">
        <v>798447</v>
      </c>
      <c r="G7" s="64">
        <f t="shared" si="2"/>
        <v>6.336175725965231E-3</v>
      </c>
      <c r="H7" s="58">
        <v>392568</v>
      </c>
      <c r="I7" s="58">
        <v>405879</v>
      </c>
      <c r="J7" s="60">
        <v>8.8856242180000002</v>
      </c>
      <c r="K7" s="58">
        <f t="shared" si="3"/>
        <v>70946.99999989447</v>
      </c>
      <c r="L7" s="58">
        <f t="shared" si="4"/>
        <v>727500.00000010547</v>
      </c>
      <c r="M7" s="60">
        <v>10.8030550742</v>
      </c>
      <c r="N7" s="60">
        <v>75.97</v>
      </c>
      <c r="O7" s="60">
        <v>79.23</v>
      </c>
      <c r="P7" s="60">
        <v>73.02</v>
      </c>
      <c r="Q7" s="18">
        <v>29</v>
      </c>
      <c r="R7" s="18">
        <v>30</v>
      </c>
      <c r="S7" s="18">
        <v>29</v>
      </c>
      <c r="T7" s="58">
        <v>30976</v>
      </c>
      <c r="U7" s="58">
        <v>32971</v>
      </c>
      <c r="V7" s="58">
        <v>33210</v>
      </c>
      <c r="W7" s="58">
        <v>31681</v>
      </c>
      <c r="X7" s="58">
        <v>32325</v>
      </c>
      <c r="Y7" s="58">
        <v>33752</v>
      </c>
      <c r="Z7" s="58">
        <v>33126</v>
      </c>
      <c r="AA7" s="58">
        <v>31638</v>
      </c>
      <c r="AB7" s="58">
        <v>28999</v>
      </c>
      <c r="AC7" s="58">
        <v>25053</v>
      </c>
      <c r="AD7" s="58">
        <v>21427</v>
      </c>
      <c r="AE7" s="58">
        <v>16826</v>
      </c>
      <c r="AF7" s="58">
        <v>13680</v>
      </c>
      <c r="AG7" s="58">
        <v>9687</v>
      </c>
      <c r="AH7" s="58">
        <v>6380</v>
      </c>
      <c r="AI7" s="58">
        <v>4182</v>
      </c>
      <c r="AJ7" s="58">
        <v>2515</v>
      </c>
      <c r="AK7" s="58">
        <v>2211</v>
      </c>
      <c r="AL7" s="58">
        <v>1929</v>
      </c>
      <c r="AM7" s="58">
        <v>31479</v>
      </c>
      <c r="AN7" s="58">
        <v>33962</v>
      </c>
      <c r="AO7" s="58">
        <v>34455</v>
      </c>
      <c r="AP7" s="58">
        <v>33788</v>
      </c>
      <c r="AQ7" s="58">
        <v>34418</v>
      </c>
      <c r="AR7" s="58">
        <v>35046</v>
      </c>
      <c r="AS7" s="58">
        <v>34653</v>
      </c>
      <c r="AT7" s="58">
        <v>33289</v>
      </c>
      <c r="AU7" s="58">
        <v>30390</v>
      </c>
      <c r="AV7" s="58">
        <v>26718</v>
      </c>
      <c r="AW7" s="58">
        <v>21910</v>
      </c>
      <c r="AX7" s="58">
        <v>16905</v>
      </c>
      <c r="AY7" s="58">
        <v>13415</v>
      </c>
      <c r="AZ7" s="58">
        <v>9587</v>
      </c>
      <c r="BA7" s="58">
        <v>6165</v>
      </c>
      <c r="BB7" s="58">
        <v>3984</v>
      </c>
      <c r="BC7" s="58">
        <v>2134</v>
      </c>
      <c r="BD7" s="58">
        <v>1668</v>
      </c>
      <c r="BE7" s="58">
        <v>1913</v>
      </c>
      <c r="BF7" s="58">
        <f t="shared" si="5"/>
        <v>62455</v>
      </c>
      <c r="BG7" s="58">
        <f t="shared" si="6"/>
        <v>66933</v>
      </c>
      <c r="BH7" s="58">
        <f t="shared" si="7"/>
        <v>67665</v>
      </c>
      <c r="BI7" s="58">
        <f t="shared" si="8"/>
        <v>65469</v>
      </c>
      <c r="BJ7" s="58">
        <f t="shared" si="9"/>
        <v>66743</v>
      </c>
      <c r="BK7" s="58">
        <f t="shared" si="10"/>
        <v>68798</v>
      </c>
      <c r="BL7" s="58">
        <f t="shared" si="11"/>
        <v>67779</v>
      </c>
      <c r="BM7" s="58">
        <f t="shared" si="12"/>
        <v>64927</v>
      </c>
      <c r="BN7" s="58">
        <f t="shared" si="13"/>
        <v>59389</v>
      </c>
      <c r="BO7" s="58">
        <f t="shared" si="14"/>
        <v>51771</v>
      </c>
      <c r="BP7" s="58">
        <f t="shared" si="15"/>
        <v>43337</v>
      </c>
      <c r="BQ7" s="58">
        <f t="shared" si="16"/>
        <v>33731</v>
      </c>
      <c r="BR7" s="58">
        <f t="shared" si="17"/>
        <v>27095</v>
      </c>
      <c r="BS7" s="58">
        <f t="shared" si="18"/>
        <v>19274</v>
      </c>
      <c r="BT7" s="58">
        <f t="shared" si="19"/>
        <v>12545</v>
      </c>
      <c r="BU7" s="58">
        <f t="shared" si="20"/>
        <v>8166</v>
      </c>
      <c r="BV7" s="58">
        <f t="shared" si="21"/>
        <v>4649</v>
      </c>
      <c r="BW7" s="58">
        <f t="shared" si="22"/>
        <v>3879</v>
      </c>
      <c r="BX7" s="58">
        <f t="shared" si="23"/>
        <v>3842</v>
      </c>
      <c r="BY7" s="58">
        <v>561667</v>
      </c>
      <c r="BZ7" s="58">
        <v>273789</v>
      </c>
      <c r="CA7" s="58">
        <v>287878</v>
      </c>
      <c r="CB7" s="58">
        <v>4314</v>
      </c>
      <c r="CC7" s="58">
        <v>5852</v>
      </c>
      <c r="CD7" s="58">
        <v>31515</v>
      </c>
      <c r="CE7" s="58">
        <v>32626</v>
      </c>
      <c r="CF7" s="58">
        <v>32545</v>
      </c>
      <c r="CG7" s="58">
        <v>30854</v>
      </c>
      <c r="CH7" s="58">
        <v>28903</v>
      </c>
      <c r="CI7" s="58">
        <v>26840</v>
      </c>
      <c r="CJ7" s="58">
        <v>21804</v>
      </c>
      <c r="CK7" s="58">
        <v>18143</v>
      </c>
      <c r="CL7" s="58">
        <v>14170</v>
      </c>
      <c r="CM7" s="58">
        <v>10021</v>
      </c>
      <c r="CN7" s="58">
        <v>6775</v>
      </c>
      <c r="CO7" s="58">
        <v>4422</v>
      </c>
      <c r="CP7" s="58">
        <v>2757</v>
      </c>
      <c r="CQ7" s="58">
        <v>2248</v>
      </c>
      <c r="CR7" s="58">
        <v>273789</v>
      </c>
      <c r="CS7" s="58">
        <v>4355</v>
      </c>
      <c r="CT7" s="58">
        <v>6074</v>
      </c>
      <c r="CU7" s="58">
        <v>33600</v>
      </c>
      <c r="CV7" s="58">
        <v>35338</v>
      </c>
      <c r="CW7" s="58">
        <v>35234</v>
      </c>
      <c r="CX7" s="58">
        <v>33383</v>
      </c>
      <c r="CY7" s="58">
        <v>31348</v>
      </c>
      <c r="CZ7" s="58">
        <v>28458</v>
      </c>
      <c r="DA7" s="58">
        <v>23037</v>
      </c>
      <c r="DB7" s="58">
        <v>18302</v>
      </c>
      <c r="DC7" s="58">
        <v>14151</v>
      </c>
      <c r="DD7" s="58">
        <v>9988</v>
      </c>
      <c r="DE7" s="58">
        <v>6504</v>
      </c>
      <c r="DF7" s="58">
        <v>4143</v>
      </c>
      <c r="DG7" s="58">
        <v>2254</v>
      </c>
      <c r="DH7" s="58">
        <v>1709</v>
      </c>
      <c r="DI7" s="58">
        <v>287878</v>
      </c>
      <c r="DJ7" s="58">
        <v>8669</v>
      </c>
      <c r="DK7" s="58">
        <v>11926</v>
      </c>
      <c r="DL7" s="58">
        <v>65115</v>
      </c>
      <c r="DM7" s="58">
        <v>67964</v>
      </c>
      <c r="DN7" s="58">
        <v>67779</v>
      </c>
      <c r="DO7" s="58">
        <v>64237</v>
      </c>
      <c r="DP7" s="58">
        <v>60251</v>
      </c>
      <c r="DQ7" s="58">
        <v>55298</v>
      </c>
      <c r="DR7" s="58">
        <v>44841</v>
      </c>
      <c r="DS7" s="58">
        <v>36445</v>
      </c>
      <c r="DT7" s="58">
        <v>28321</v>
      </c>
      <c r="DU7" s="58">
        <v>20009</v>
      </c>
      <c r="DV7" s="58">
        <v>13279</v>
      </c>
      <c r="DW7" s="58">
        <v>8565</v>
      </c>
      <c r="DX7" s="58">
        <v>5011</v>
      </c>
      <c r="DY7" s="58">
        <v>3957</v>
      </c>
      <c r="DZ7" s="139">
        <v>561667</v>
      </c>
      <c r="EA7" s="18">
        <f t="shared" si="24"/>
        <v>9</v>
      </c>
      <c r="EB7" s="18">
        <f t="shared" si="25"/>
        <v>32</v>
      </c>
      <c r="EC7" s="63">
        <f t="shared" si="26"/>
        <v>32</v>
      </c>
      <c r="ED7" s="18" t="s">
        <v>356</v>
      </c>
    </row>
    <row r="8" spans="1:134" ht="51" x14ac:dyDescent="0.2">
      <c r="A8" s="18">
        <v>4</v>
      </c>
      <c r="B8" s="18" t="s">
        <v>3</v>
      </c>
      <c r="C8" s="59">
        <v>57484.9</v>
      </c>
      <c r="D8" s="57">
        <f t="shared" si="1"/>
        <v>2.9319352234236962</v>
      </c>
      <c r="E8" s="18">
        <v>13</v>
      </c>
      <c r="F8" s="58">
        <v>928363</v>
      </c>
      <c r="G8" s="64">
        <f t="shared" si="2"/>
        <v>7.3671403430462627E-3</v>
      </c>
      <c r="H8" s="58">
        <v>471424</v>
      </c>
      <c r="I8" s="58">
        <v>456939</v>
      </c>
      <c r="J8" s="60">
        <v>24.9660962361</v>
      </c>
      <c r="K8" s="58">
        <f t="shared" si="3"/>
        <v>231776.00000034503</v>
      </c>
      <c r="L8" s="58">
        <f t="shared" si="4"/>
        <v>696586.99999965494</v>
      </c>
      <c r="M8" s="60">
        <v>16.149681083099999</v>
      </c>
      <c r="N8" s="60">
        <v>74.92</v>
      </c>
      <c r="O8" s="60">
        <v>77.98</v>
      </c>
      <c r="P8" s="60">
        <v>72.03</v>
      </c>
      <c r="Q8" s="18">
        <v>29</v>
      </c>
      <c r="R8" s="18">
        <v>30</v>
      </c>
      <c r="S8" s="18">
        <v>29</v>
      </c>
      <c r="T8" s="58">
        <v>39118</v>
      </c>
      <c r="U8" s="58">
        <v>40391</v>
      </c>
      <c r="V8" s="58">
        <v>39121</v>
      </c>
      <c r="W8" s="58">
        <v>37672</v>
      </c>
      <c r="X8" s="58">
        <v>38279</v>
      </c>
      <c r="Y8" s="58">
        <v>37752</v>
      </c>
      <c r="Z8" s="58">
        <v>38152</v>
      </c>
      <c r="AA8" s="58">
        <v>36664</v>
      </c>
      <c r="AB8" s="58">
        <v>33409</v>
      </c>
      <c r="AC8" s="58">
        <v>29592</v>
      </c>
      <c r="AD8" s="58">
        <v>25862</v>
      </c>
      <c r="AE8" s="58">
        <v>20948</v>
      </c>
      <c r="AF8" s="58">
        <v>16758</v>
      </c>
      <c r="AG8" s="58">
        <v>13266</v>
      </c>
      <c r="AH8" s="58">
        <v>8891</v>
      </c>
      <c r="AI8" s="58">
        <v>5932</v>
      </c>
      <c r="AJ8" s="58">
        <v>3818</v>
      </c>
      <c r="AK8" s="58">
        <v>3655</v>
      </c>
      <c r="AL8" s="58">
        <v>2144</v>
      </c>
      <c r="AM8" s="58">
        <v>39817</v>
      </c>
      <c r="AN8" s="58">
        <v>41624</v>
      </c>
      <c r="AO8" s="58">
        <v>41047</v>
      </c>
      <c r="AP8" s="58">
        <v>38468</v>
      </c>
      <c r="AQ8" s="58">
        <v>37277</v>
      </c>
      <c r="AR8" s="58">
        <v>35046</v>
      </c>
      <c r="AS8" s="58">
        <v>34557</v>
      </c>
      <c r="AT8" s="58">
        <v>33611</v>
      </c>
      <c r="AU8" s="58">
        <v>30761</v>
      </c>
      <c r="AV8" s="58">
        <v>28036</v>
      </c>
      <c r="AW8" s="58">
        <v>24392</v>
      </c>
      <c r="AX8" s="58">
        <v>19857</v>
      </c>
      <c r="AY8" s="58">
        <v>16020</v>
      </c>
      <c r="AZ8" s="58">
        <v>12530</v>
      </c>
      <c r="BA8" s="58">
        <v>8668</v>
      </c>
      <c r="BB8" s="58">
        <v>5984</v>
      </c>
      <c r="BC8" s="58">
        <v>3718</v>
      </c>
      <c r="BD8" s="58">
        <v>3376</v>
      </c>
      <c r="BE8" s="58">
        <v>2150</v>
      </c>
      <c r="BF8" s="58">
        <f t="shared" si="5"/>
        <v>78935</v>
      </c>
      <c r="BG8" s="58">
        <f t="shared" si="6"/>
        <v>82015</v>
      </c>
      <c r="BH8" s="58">
        <f t="shared" si="7"/>
        <v>80168</v>
      </c>
      <c r="BI8" s="58">
        <f t="shared" si="8"/>
        <v>76140</v>
      </c>
      <c r="BJ8" s="58">
        <f t="shared" si="9"/>
        <v>75556</v>
      </c>
      <c r="BK8" s="58">
        <f t="shared" si="10"/>
        <v>72798</v>
      </c>
      <c r="BL8" s="58">
        <f t="shared" si="11"/>
        <v>72709</v>
      </c>
      <c r="BM8" s="58">
        <f t="shared" si="12"/>
        <v>70275</v>
      </c>
      <c r="BN8" s="58">
        <f t="shared" si="13"/>
        <v>64170</v>
      </c>
      <c r="BO8" s="58">
        <f t="shared" si="14"/>
        <v>57628</v>
      </c>
      <c r="BP8" s="58">
        <f t="shared" si="15"/>
        <v>50254</v>
      </c>
      <c r="BQ8" s="58">
        <f t="shared" si="16"/>
        <v>40805</v>
      </c>
      <c r="BR8" s="58">
        <f t="shared" si="17"/>
        <v>32778</v>
      </c>
      <c r="BS8" s="58">
        <f t="shared" si="18"/>
        <v>25796</v>
      </c>
      <c r="BT8" s="58">
        <f t="shared" si="19"/>
        <v>17559</v>
      </c>
      <c r="BU8" s="58">
        <f t="shared" si="20"/>
        <v>11916</v>
      </c>
      <c r="BV8" s="58">
        <f t="shared" si="21"/>
        <v>7536</v>
      </c>
      <c r="BW8" s="58">
        <f t="shared" si="22"/>
        <v>7031</v>
      </c>
      <c r="BX8" s="58">
        <f t="shared" si="23"/>
        <v>4294</v>
      </c>
      <c r="BY8" s="58">
        <v>668755</v>
      </c>
      <c r="BZ8" s="58">
        <v>340417</v>
      </c>
      <c r="CA8" s="58">
        <v>328338</v>
      </c>
      <c r="CB8" s="58">
        <v>5324</v>
      </c>
      <c r="CC8" s="58">
        <v>7019</v>
      </c>
      <c r="CD8" s="58">
        <v>39470</v>
      </c>
      <c r="CE8" s="58">
        <v>41161</v>
      </c>
      <c r="CF8" s="58">
        <v>39330</v>
      </c>
      <c r="CG8" s="58">
        <v>37490</v>
      </c>
      <c r="CH8" s="58">
        <v>34393</v>
      </c>
      <c r="CI8" s="58">
        <v>31775</v>
      </c>
      <c r="CJ8" s="58">
        <v>26512</v>
      </c>
      <c r="CK8" s="58">
        <v>22360</v>
      </c>
      <c r="CL8" s="58">
        <v>17677</v>
      </c>
      <c r="CM8" s="58">
        <v>13695</v>
      </c>
      <c r="CN8" s="58">
        <v>9847</v>
      </c>
      <c r="CO8" s="58">
        <v>6236</v>
      </c>
      <c r="CP8" s="58">
        <v>4291</v>
      </c>
      <c r="CQ8" s="58">
        <v>3837</v>
      </c>
      <c r="CR8" s="58">
        <v>340417</v>
      </c>
      <c r="CS8" s="58">
        <v>5305</v>
      </c>
      <c r="CT8" s="58">
        <v>7064</v>
      </c>
      <c r="CU8" s="58">
        <v>39497</v>
      </c>
      <c r="CV8" s="58">
        <v>41063</v>
      </c>
      <c r="CW8" s="58">
        <v>37759</v>
      </c>
      <c r="CX8" s="58">
        <v>35504</v>
      </c>
      <c r="CY8" s="58">
        <v>32303</v>
      </c>
      <c r="CZ8" s="58">
        <v>30284</v>
      </c>
      <c r="DA8" s="58">
        <v>25343</v>
      </c>
      <c r="DB8" s="58">
        <v>21411</v>
      </c>
      <c r="DC8" s="58">
        <v>16956</v>
      </c>
      <c r="DD8" s="58">
        <v>13198</v>
      </c>
      <c r="DE8" s="58">
        <v>9267</v>
      </c>
      <c r="DF8" s="58">
        <v>6065</v>
      </c>
      <c r="DG8" s="58">
        <v>4029</v>
      </c>
      <c r="DH8" s="58">
        <v>3290</v>
      </c>
      <c r="DI8" s="58">
        <v>328338</v>
      </c>
      <c r="DJ8" s="58">
        <v>10629</v>
      </c>
      <c r="DK8" s="58">
        <v>14083</v>
      </c>
      <c r="DL8" s="58">
        <v>78967</v>
      </c>
      <c r="DM8" s="58">
        <v>82224</v>
      </c>
      <c r="DN8" s="58">
        <v>77089</v>
      </c>
      <c r="DO8" s="58">
        <v>72994</v>
      </c>
      <c r="DP8" s="58">
        <v>66696</v>
      </c>
      <c r="DQ8" s="58">
        <v>62059</v>
      </c>
      <c r="DR8" s="58">
        <v>51855</v>
      </c>
      <c r="DS8" s="58">
        <v>43771</v>
      </c>
      <c r="DT8" s="58">
        <v>34633</v>
      </c>
      <c r="DU8" s="58">
        <v>26893</v>
      </c>
      <c r="DV8" s="58">
        <v>19114</v>
      </c>
      <c r="DW8" s="58">
        <v>12301</v>
      </c>
      <c r="DX8" s="58">
        <v>8320</v>
      </c>
      <c r="DY8" s="58">
        <v>7127</v>
      </c>
      <c r="DZ8" s="139">
        <v>668755</v>
      </c>
      <c r="EA8" s="18">
        <f t="shared" si="24"/>
        <v>17</v>
      </c>
      <c r="EB8" s="18">
        <f t="shared" si="25"/>
        <v>27</v>
      </c>
      <c r="EC8" s="63">
        <f t="shared" si="26"/>
        <v>29</v>
      </c>
      <c r="ED8" s="18" t="s">
        <v>357</v>
      </c>
    </row>
    <row r="9" spans="1:134" ht="40.799999999999997" x14ac:dyDescent="0.2">
      <c r="A9" s="18">
        <v>5</v>
      </c>
      <c r="B9" s="18" t="s">
        <v>4</v>
      </c>
      <c r="C9" s="59">
        <v>151595</v>
      </c>
      <c r="D9" s="57">
        <f t="shared" si="1"/>
        <v>7.7318864640090741</v>
      </c>
      <c r="E9" s="18">
        <v>38</v>
      </c>
      <c r="F9" s="58">
        <v>3146771</v>
      </c>
      <c r="G9" s="64">
        <f t="shared" si="2"/>
        <v>2.4971593637863672E-2</v>
      </c>
      <c r="H9" s="58">
        <v>1583102</v>
      </c>
      <c r="I9" s="58">
        <v>1563669</v>
      </c>
      <c r="J9" s="60">
        <v>8.3490028350000003</v>
      </c>
      <c r="K9" s="58">
        <f t="shared" si="3"/>
        <v>262724.00000095787</v>
      </c>
      <c r="L9" s="58">
        <f t="shared" si="4"/>
        <v>2884046.9999990421</v>
      </c>
      <c r="M9" s="60">
        <v>20.757781660199999</v>
      </c>
      <c r="N9" s="60">
        <v>75.8</v>
      </c>
      <c r="O9" s="60">
        <v>78.98</v>
      </c>
      <c r="P9" s="60">
        <v>72.81</v>
      </c>
      <c r="Q9" s="18">
        <v>29</v>
      </c>
      <c r="R9" s="18">
        <v>29</v>
      </c>
      <c r="S9" s="18">
        <v>28</v>
      </c>
      <c r="T9" s="58">
        <v>138100</v>
      </c>
      <c r="U9" s="58">
        <v>135807</v>
      </c>
      <c r="V9" s="58">
        <v>131843</v>
      </c>
      <c r="W9" s="58">
        <v>132434</v>
      </c>
      <c r="X9" s="58">
        <v>130654</v>
      </c>
      <c r="Y9" s="58">
        <v>123347</v>
      </c>
      <c r="Z9" s="58">
        <v>113447</v>
      </c>
      <c r="AA9" s="58">
        <v>110263</v>
      </c>
      <c r="AB9" s="58">
        <v>111696</v>
      </c>
      <c r="AC9" s="58">
        <v>104356</v>
      </c>
      <c r="AD9" s="58">
        <v>91791</v>
      </c>
      <c r="AE9" s="58">
        <v>73100</v>
      </c>
      <c r="AF9" s="58">
        <v>61643</v>
      </c>
      <c r="AG9" s="58">
        <v>43792</v>
      </c>
      <c r="AH9" s="58">
        <v>32226</v>
      </c>
      <c r="AI9" s="58">
        <v>20965</v>
      </c>
      <c r="AJ9" s="58">
        <v>13652</v>
      </c>
      <c r="AK9" s="58">
        <v>10901</v>
      </c>
      <c r="AL9" s="58">
        <v>3085</v>
      </c>
      <c r="AM9" s="58">
        <v>141812</v>
      </c>
      <c r="AN9" s="58">
        <v>140417</v>
      </c>
      <c r="AO9" s="58">
        <v>136301</v>
      </c>
      <c r="AP9" s="58">
        <v>136850</v>
      </c>
      <c r="AQ9" s="58">
        <v>133659</v>
      </c>
      <c r="AR9" s="58">
        <v>122570</v>
      </c>
      <c r="AS9" s="58">
        <v>110882</v>
      </c>
      <c r="AT9" s="58">
        <v>109371</v>
      </c>
      <c r="AU9" s="58">
        <v>106991</v>
      </c>
      <c r="AV9" s="58">
        <v>100846</v>
      </c>
      <c r="AW9" s="58">
        <v>86423</v>
      </c>
      <c r="AX9" s="58">
        <v>69115</v>
      </c>
      <c r="AY9" s="58">
        <v>57307</v>
      </c>
      <c r="AZ9" s="58">
        <v>40630</v>
      </c>
      <c r="BA9" s="58">
        <v>29458</v>
      </c>
      <c r="BB9" s="58">
        <v>18836</v>
      </c>
      <c r="BC9" s="58">
        <v>11199</v>
      </c>
      <c r="BD9" s="58">
        <v>7928</v>
      </c>
      <c r="BE9" s="58">
        <v>3074</v>
      </c>
      <c r="BF9" s="58">
        <f t="shared" si="5"/>
        <v>279912</v>
      </c>
      <c r="BG9" s="58">
        <f t="shared" si="6"/>
        <v>276224</v>
      </c>
      <c r="BH9" s="58">
        <f t="shared" si="7"/>
        <v>268144</v>
      </c>
      <c r="BI9" s="58">
        <f t="shared" si="8"/>
        <v>269284</v>
      </c>
      <c r="BJ9" s="58">
        <f t="shared" si="9"/>
        <v>264313</v>
      </c>
      <c r="BK9" s="58">
        <f t="shared" si="10"/>
        <v>245917</v>
      </c>
      <c r="BL9" s="58">
        <f t="shared" si="11"/>
        <v>224329</v>
      </c>
      <c r="BM9" s="58">
        <f t="shared" si="12"/>
        <v>219634</v>
      </c>
      <c r="BN9" s="58">
        <f t="shared" si="13"/>
        <v>218687</v>
      </c>
      <c r="BO9" s="58">
        <f t="shared" si="14"/>
        <v>205202</v>
      </c>
      <c r="BP9" s="58">
        <f t="shared" si="15"/>
        <v>178214</v>
      </c>
      <c r="BQ9" s="58">
        <f t="shared" si="16"/>
        <v>142215</v>
      </c>
      <c r="BR9" s="58">
        <f t="shared" si="17"/>
        <v>118950</v>
      </c>
      <c r="BS9" s="58">
        <f t="shared" si="18"/>
        <v>84422</v>
      </c>
      <c r="BT9" s="58">
        <f t="shared" si="19"/>
        <v>61684</v>
      </c>
      <c r="BU9" s="58">
        <f t="shared" si="20"/>
        <v>39801</v>
      </c>
      <c r="BV9" s="58">
        <f t="shared" si="21"/>
        <v>24851</v>
      </c>
      <c r="BW9" s="58">
        <f t="shared" si="22"/>
        <v>18829</v>
      </c>
      <c r="BX9" s="58">
        <f t="shared" si="23"/>
        <v>6159</v>
      </c>
      <c r="BY9" s="58">
        <v>2262076</v>
      </c>
      <c r="BZ9" s="58">
        <v>1145708</v>
      </c>
      <c r="CA9" s="58">
        <v>1116368</v>
      </c>
      <c r="CB9" s="58">
        <v>17809</v>
      </c>
      <c r="CC9" s="58">
        <v>24966</v>
      </c>
      <c r="CD9" s="58">
        <v>136663</v>
      </c>
      <c r="CE9" s="58">
        <v>134453</v>
      </c>
      <c r="CF9" s="58">
        <v>117595</v>
      </c>
      <c r="CG9" s="58">
        <v>110861</v>
      </c>
      <c r="CH9" s="58">
        <v>111172</v>
      </c>
      <c r="CI9" s="58">
        <v>111826</v>
      </c>
      <c r="CJ9" s="58">
        <v>95567</v>
      </c>
      <c r="CK9" s="58">
        <v>81472</v>
      </c>
      <c r="CL9" s="58">
        <v>66297</v>
      </c>
      <c r="CM9" s="58">
        <v>48314</v>
      </c>
      <c r="CN9" s="58">
        <v>36294</v>
      </c>
      <c r="CO9" s="58">
        <v>24232</v>
      </c>
      <c r="CP9" s="58">
        <v>15504</v>
      </c>
      <c r="CQ9" s="58">
        <v>12683</v>
      </c>
      <c r="CR9" s="58">
        <v>1145708</v>
      </c>
      <c r="CS9" s="58">
        <v>19236</v>
      </c>
      <c r="CT9" s="58">
        <v>26376</v>
      </c>
      <c r="CU9" s="58">
        <v>140487</v>
      </c>
      <c r="CV9" s="58">
        <v>137783</v>
      </c>
      <c r="CW9" s="58">
        <v>119842</v>
      </c>
      <c r="CX9" s="58">
        <v>111057</v>
      </c>
      <c r="CY9" s="58">
        <v>110291</v>
      </c>
      <c r="CZ9" s="58">
        <v>107245</v>
      </c>
      <c r="DA9" s="58">
        <v>90538</v>
      </c>
      <c r="DB9" s="58">
        <v>75141</v>
      </c>
      <c r="DC9" s="58">
        <v>60439</v>
      </c>
      <c r="DD9" s="58">
        <v>44109</v>
      </c>
      <c r="DE9" s="58">
        <v>32216</v>
      </c>
      <c r="DF9" s="58">
        <v>20653</v>
      </c>
      <c r="DG9" s="58">
        <v>12288</v>
      </c>
      <c r="DH9" s="58">
        <v>8667</v>
      </c>
      <c r="DI9" s="58">
        <v>1116368</v>
      </c>
      <c r="DJ9" s="58">
        <v>37045</v>
      </c>
      <c r="DK9" s="58">
        <v>51342</v>
      </c>
      <c r="DL9" s="58">
        <v>277150</v>
      </c>
      <c r="DM9" s="58">
        <v>272236</v>
      </c>
      <c r="DN9" s="58">
        <v>237437</v>
      </c>
      <c r="DO9" s="58">
        <v>221918</v>
      </c>
      <c r="DP9" s="58">
        <v>221463</v>
      </c>
      <c r="DQ9" s="58">
        <v>219071</v>
      </c>
      <c r="DR9" s="58">
        <v>186105</v>
      </c>
      <c r="DS9" s="58">
        <v>156613</v>
      </c>
      <c r="DT9" s="58">
        <v>126736</v>
      </c>
      <c r="DU9" s="58">
        <v>92423</v>
      </c>
      <c r="DV9" s="58">
        <v>68510</v>
      </c>
      <c r="DW9" s="58">
        <v>44885</v>
      </c>
      <c r="DX9" s="58">
        <v>27792</v>
      </c>
      <c r="DY9" s="58">
        <v>21350</v>
      </c>
      <c r="DZ9" s="139">
        <v>2262076</v>
      </c>
      <c r="EA9" s="18">
        <f t="shared" si="24"/>
        <v>3</v>
      </c>
      <c r="EB9" s="18">
        <f t="shared" si="25"/>
        <v>20</v>
      </c>
      <c r="EC9" s="63">
        <f t="shared" si="26"/>
        <v>27</v>
      </c>
      <c r="ED9" s="18" t="s">
        <v>358</v>
      </c>
    </row>
    <row r="10" spans="1:134" ht="40.799999999999997" x14ac:dyDescent="0.2">
      <c r="A10" s="18">
        <v>6</v>
      </c>
      <c r="B10" s="18" t="s">
        <v>5</v>
      </c>
      <c r="C10" s="59">
        <v>5626.88</v>
      </c>
      <c r="D10" s="57">
        <f t="shared" si="1"/>
        <v>0.28699097797818784</v>
      </c>
      <c r="E10" s="18">
        <v>10</v>
      </c>
      <c r="F10" s="58">
        <v>731391</v>
      </c>
      <c r="G10" s="64">
        <f t="shared" si="2"/>
        <v>5.8040444768274364E-3</v>
      </c>
      <c r="H10" s="58">
        <v>370769</v>
      </c>
      <c r="I10" s="58">
        <v>360622</v>
      </c>
      <c r="J10" s="60">
        <v>9.9388699068000008</v>
      </c>
      <c r="K10" s="58">
        <f t="shared" si="3"/>
        <v>72692.000000043598</v>
      </c>
      <c r="L10" s="58">
        <f t="shared" si="4"/>
        <v>658698.99999995646</v>
      </c>
      <c r="M10" s="60">
        <v>129.98151980110001</v>
      </c>
      <c r="N10" s="60">
        <v>75.63</v>
      </c>
      <c r="O10" s="60">
        <v>78.069999999999993</v>
      </c>
      <c r="P10" s="60">
        <v>73.260000000000005</v>
      </c>
      <c r="Q10" s="18">
        <v>30</v>
      </c>
      <c r="R10" s="18">
        <v>31</v>
      </c>
      <c r="S10" s="18">
        <v>30</v>
      </c>
      <c r="T10" s="58">
        <v>25781</v>
      </c>
      <c r="U10" s="58">
        <v>29403</v>
      </c>
      <c r="V10" s="58">
        <v>29849</v>
      </c>
      <c r="W10" s="58">
        <v>29996</v>
      </c>
      <c r="X10" s="58">
        <v>29706</v>
      </c>
      <c r="Y10" s="58">
        <v>29451</v>
      </c>
      <c r="Z10" s="58">
        <v>29748</v>
      </c>
      <c r="AA10" s="58">
        <v>27932</v>
      </c>
      <c r="AB10" s="58">
        <v>26393</v>
      </c>
      <c r="AC10" s="58">
        <v>23986</v>
      </c>
      <c r="AD10" s="58">
        <v>21504</v>
      </c>
      <c r="AE10" s="58">
        <v>17976</v>
      </c>
      <c r="AF10" s="58">
        <v>15322</v>
      </c>
      <c r="AG10" s="58">
        <v>11469</v>
      </c>
      <c r="AH10" s="58">
        <v>8376</v>
      </c>
      <c r="AI10" s="58">
        <v>5702</v>
      </c>
      <c r="AJ10" s="58">
        <v>3756</v>
      </c>
      <c r="AK10" s="58">
        <v>3438</v>
      </c>
      <c r="AL10" s="58">
        <v>981</v>
      </c>
      <c r="AM10" s="58">
        <v>26532</v>
      </c>
      <c r="AN10" s="58">
        <v>30646</v>
      </c>
      <c r="AO10" s="58">
        <v>30952</v>
      </c>
      <c r="AP10" s="58">
        <v>30667</v>
      </c>
      <c r="AQ10" s="58">
        <v>29637</v>
      </c>
      <c r="AR10" s="58">
        <v>28584</v>
      </c>
      <c r="AS10" s="58">
        <v>27688</v>
      </c>
      <c r="AT10" s="58">
        <v>26634</v>
      </c>
      <c r="AU10" s="58">
        <v>24786</v>
      </c>
      <c r="AV10" s="58">
        <v>23147</v>
      </c>
      <c r="AW10" s="58">
        <v>20037</v>
      </c>
      <c r="AX10" s="58">
        <v>16843</v>
      </c>
      <c r="AY10" s="58">
        <v>14473</v>
      </c>
      <c r="AZ10" s="58">
        <v>10602</v>
      </c>
      <c r="BA10" s="58">
        <v>7710</v>
      </c>
      <c r="BB10" s="58">
        <v>5101</v>
      </c>
      <c r="BC10" s="58">
        <v>3103</v>
      </c>
      <c r="BD10" s="58">
        <v>2505</v>
      </c>
      <c r="BE10" s="58">
        <v>975</v>
      </c>
      <c r="BF10" s="58">
        <f t="shared" si="5"/>
        <v>52313</v>
      </c>
      <c r="BG10" s="58">
        <f t="shared" si="6"/>
        <v>60049</v>
      </c>
      <c r="BH10" s="58">
        <f t="shared" si="7"/>
        <v>60801</v>
      </c>
      <c r="BI10" s="58">
        <f t="shared" si="8"/>
        <v>60663</v>
      </c>
      <c r="BJ10" s="58">
        <f t="shared" si="9"/>
        <v>59343</v>
      </c>
      <c r="BK10" s="58">
        <f t="shared" si="10"/>
        <v>58035</v>
      </c>
      <c r="BL10" s="58">
        <f t="shared" si="11"/>
        <v>57436</v>
      </c>
      <c r="BM10" s="58">
        <f t="shared" si="12"/>
        <v>54566</v>
      </c>
      <c r="BN10" s="58">
        <f t="shared" si="13"/>
        <v>51179</v>
      </c>
      <c r="BO10" s="58">
        <f t="shared" si="14"/>
        <v>47133</v>
      </c>
      <c r="BP10" s="58">
        <f t="shared" si="15"/>
        <v>41541</v>
      </c>
      <c r="BQ10" s="58">
        <f t="shared" si="16"/>
        <v>34819</v>
      </c>
      <c r="BR10" s="58">
        <f t="shared" si="17"/>
        <v>29795</v>
      </c>
      <c r="BS10" s="58">
        <f t="shared" si="18"/>
        <v>22071</v>
      </c>
      <c r="BT10" s="58">
        <f t="shared" si="19"/>
        <v>16086</v>
      </c>
      <c r="BU10" s="58">
        <f t="shared" si="20"/>
        <v>10803</v>
      </c>
      <c r="BV10" s="58">
        <f t="shared" si="21"/>
        <v>6859</v>
      </c>
      <c r="BW10" s="58">
        <f t="shared" si="22"/>
        <v>5943</v>
      </c>
      <c r="BX10" s="58">
        <f t="shared" si="23"/>
        <v>1956</v>
      </c>
      <c r="BY10" s="58">
        <v>556321</v>
      </c>
      <c r="BZ10" s="58">
        <v>283591</v>
      </c>
      <c r="CA10" s="58">
        <v>272730</v>
      </c>
      <c r="CB10" s="58">
        <v>3927</v>
      </c>
      <c r="CC10" s="58">
        <v>5451</v>
      </c>
      <c r="CD10" s="58">
        <v>30777</v>
      </c>
      <c r="CE10" s="58">
        <v>31741</v>
      </c>
      <c r="CF10" s="58">
        <v>30988</v>
      </c>
      <c r="CG10" s="58">
        <v>28978</v>
      </c>
      <c r="CH10" s="58">
        <v>27274</v>
      </c>
      <c r="CI10" s="58">
        <v>26446</v>
      </c>
      <c r="CJ10" s="58">
        <v>23223</v>
      </c>
      <c r="CK10" s="58">
        <v>20374</v>
      </c>
      <c r="CL10" s="58">
        <v>17139</v>
      </c>
      <c r="CM10" s="58">
        <v>13174</v>
      </c>
      <c r="CN10" s="58">
        <v>9572</v>
      </c>
      <c r="CO10" s="58">
        <v>6608</v>
      </c>
      <c r="CP10" s="58">
        <v>4080</v>
      </c>
      <c r="CQ10" s="58">
        <v>3839</v>
      </c>
      <c r="CR10" s="58">
        <v>283591</v>
      </c>
      <c r="CS10" s="58">
        <v>3967</v>
      </c>
      <c r="CT10" s="58">
        <v>5464</v>
      </c>
      <c r="CU10" s="58">
        <v>31248</v>
      </c>
      <c r="CV10" s="58">
        <v>32380</v>
      </c>
      <c r="CW10" s="58">
        <v>29949</v>
      </c>
      <c r="CX10" s="58">
        <v>28101</v>
      </c>
      <c r="CY10" s="58">
        <v>26311</v>
      </c>
      <c r="CZ10" s="58">
        <v>25732</v>
      </c>
      <c r="DA10" s="58">
        <v>21474</v>
      </c>
      <c r="DB10" s="58">
        <v>19046</v>
      </c>
      <c r="DC10" s="58">
        <v>16096</v>
      </c>
      <c r="DD10" s="58">
        <v>12256</v>
      </c>
      <c r="DE10" s="58">
        <v>8880</v>
      </c>
      <c r="DF10" s="58">
        <v>5768</v>
      </c>
      <c r="DG10" s="58">
        <v>3364</v>
      </c>
      <c r="DH10" s="58">
        <v>2694</v>
      </c>
      <c r="DI10" s="58">
        <v>272730</v>
      </c>
      <c r="DJ10" s="58">
        <v>7894</v>
      </c>
      <c r="DK10" s="58">
        <v>10915</v>
      </c>
      <c r="DL10" s="58">
        <v>62025</v>
      </c>
      <c r="DM10" s="58">
        <v>64121</v>
      </c>
      <c r="DN10" s="58">
        <v>60937</v>
      </c>
      <c r="DO10" s="58">
        <v>57079</v>
      </c>
      <c r="DP10" s="58">
        <v>53585</v>
      </c>
      <c r="DQ10" s="58">
        <v>52178</v>
      </c>
      <c r="DR10" s="58">
        <v>44697</v>
      </c>
      <c r="DS10" s="58">
        <v>39420</v>
      </c>
      <c r="DT10" s="58">
        <v>33235</v>
      </c>
      <c r="DU10" s="58">
        <v>25430</v>
      </c>
      <c r="DV10" s="58">
        <v>18452</v>
      </c>
      <c r="DW10" s="58">
        <v>12376</v>
      </c>
      <c r="DX10" s="58">
        <v>7444</v>
      </c>
      <c r="DY10" s="58">
        <v>6533</v>
      </c>
      <c r="DZ10" s="139">
        <v>556321</v>
      </c>
      <c r="EA10" s="18">
        <f t="shared" si="24"/>
        <v>28</v>
      </c>
      <c r="EB10" s="18">
        <f t="shared" si="25"/>
        <v>30</v>
      </c>
      <c r="EC10" s="63">
        <f t="shared" si="26"/>
        <v>10</v>
      </c>
      <c r="ED10" s="18" t="s">
        <v>359</v>
      </c>
    </row>
    <row r="11" spans="1:134" ht="40.799999999999997" x14ac:dyDescent="0.2">
      <c r="A11" s="18">
        <v>7</v>
      </c>
      <c r="B11" s="18" t="s">
        <v>6</v>
      </c>
      <c r="C11" s="59">
        <v>73311</v>
      </c>
      <c r="D11" s="57">
        <f t="shared" si="1"/>
        <v>3.7391228507732395</v>
      </c>
      <c r="E11" s="18">
        <v>124</v>
      </c>
      <c r="F11" s="58">
        <v>5543828</v>
      </c>
      <c r="G11" s="64">
        <f t="shared" si="2"/>
        <v>4.3993738347725485E-2</v>
      </c>
      <c r="H11" s="58">
        <v>2837881</v>
      </c>
      <c r="I11" s="58">
        <v>2705947</v>
      </c>
      <c r="J11" s="60">
        <v>50.815176805599997</v>
      </c>
      <c r="K11" s="58">
        <f t="shared" si="3"/>
        <v>2817105.9999983581</v>
      </c>
      <c r="L11" s="58">
        <f t="shared" si="4"/>
        <v>2726722.0000016419</v>
      </c>
      <c r="M11" s="60">
        <v>75.620722742599995</v>
      </c>
      <c r="N11" s="60">
        <v>74.44</v>
      </c>
      <c r="O11" s="60">
        <v>77.19</v>
      </c>
      <c r="P11" s="60">
        <v>71.75</v>
      </c>
      <c r="Q11" s="18">
        <v>24</v>
      </c>
      <c r="R11" s="18">
        <v>25</v>
      </c>
      <c r="S11" s="18">
        <v>24</v>
      </c>
      <c r="T11" s="58">
        <v>285241</v>
      </c>
      <c r="U11" s="58">
        <v>304034</v>
      </c>
      <c r="V11" s="58">
        <v>288018</v>
      </c>
      <c r="W11" s="58">
        <v>264056</v>
      </c>
      <c r="X11" s="58">
        <v>240791</v>
      </c>
      <c r="Y11" s="58">
        <v>225948</v>
      </c>
      <c r="Z11" s="58">
        <v>211284</v>
      </c>
      <c r="AA11" s="58">
        <v>198593</v>
      </c>
      <c r="AB11" s="58">
        <v>172732</v>
      </c>
      <c r="AC11" s="58">
        <v>148524</v>
      </c>
      <c r="AD11" s="58">
        <v>126691</v>
      </c>
      <c r="AE11" s="58">
        <v>101450</v>
      </c>
      <c r="AF11" s="58">
        <v>81058</v>
      </c>
      <c r="AG11" s="58">
        <v>63742</v>
      </c>
      <c r="AH11" s="58">
        <v>42736</v>
      </c>
      <c r="AI11" s="58">
        <v>31187</v>
      </c>
      <c r="AJ11" s="58">
        <v>19198</v>
      </c>
      <c r="AK11" s="58">
        <v>18655</v>
      </c>
      <c r="AL11" s="58">
        <v>13943</v>
      </c>
      <c r="AM11" s="58">
        <v>288911</v>
      </c>
      <c r="AN11" s="58">
        <v>308758</v>
      </c>
      <c r="AO11" s="58">
        <v>295114</v>
      </c>
      <c r="AP11" s="58">
        <v>262521</v>
      </c>
      <c r="AQ11" s="58">
        <v>223732</v>
      </c>
      <c r="AR11" s="58">
        <v>198455</v>
      </c>
      <c r="AS11" s="58">
        <v>184761</v>
      </c>
      <c r="AT11" s="58">
        <v>174270</v>
      </c>
      <c r="AU11" s="58">
        <v>156472</v>
      </c>
      <c r="AV11" s="58">
        <v>135809</v>
      </c>
      <c r="AW11" s="58">
        <v>117157</v>
      </c>
      <c r="AX11" s="58">
        <v>94905</v>
      </c>
      <c r="AY11" s="58">
        <v>77668</v>
      </c>
      <c r="AZ11" s="58">
        <v>62035</v>
      </c>
      <c r="BA11" s="58">
        <v>43119</v>
      </c>
      <c r="BB11" s="58">
        <v>31971</v>
      </c>
      <c r="BC11" s="58">
        <v>19047</v>
      </c>
      <c r="BD11" s="58">
        <v>17341</v>
      </c>
      <c r="BE11" s="58">
        <v>13901</v>
      </c>
      <c r="BF11" s="58">
        <f t="shared" si="5"/>
        <v>574152</v>
      </c>
      <c r="BG11" s="58">
        <f t="shared" si="6"/>
        <v>612792</v>
      </c>
      <c r="BH11" s="58">
        <f t="shared" si="7"/>
        <v>583132</v>
      </c>
      <c r="BI11" s="58">
        <f t="shared" si="8"/>
        <v>526577</v>
      </c>
      <c r="BJ11" s="58">
        <f t="shared" si="9"/>
        <v>464523</v>
      </c>
      <c r="BK11" s="58">
        <f t="shared" si="10"/>
        <v>424403</v>
      </c>
      <c r="BL11" s="58">
        <f t="shared" si="11"/>
        <v>396045</v>
      </c>
      <c r="BM11" s="58">
        <f t="shared" si="12"/>
        <v>372863</v>
      </c>
      <c r="BN11" s="58">
        <f t="shared" si="13"/>
        <v>329204</v>
      </c>
      <c r="BO11" s="58">
        <f t="shared" si="14"/>
        <v>284333</v>
      </c>
      <c r="BP11" s="58">
        <f t="shared" si="15"/>
        <v>243848</v>
      </c>
      <c r="BQ11" s="58">
        <f t="shared" si="16"/>
        <v>196355</v>
      </c>
      <c r="BR11" s="58">
        <f t="shared" si="17"/>
        <v>158726</v>
      </c>
      <c r="BS11" s="58">
        <f t="shared" si="18"/>
        <v>125777</v>
      </c>
      <c r="BT11" s="58">
        <f t="shared" si="19"/>
        <v>85855</v>
      </c>
      <c r="BU11" s="58">
        <f t="shared" si="20"/>
        <v>63158</v>
      </c>
      <c r="BV11" s="58">
        <f t="shared" si="21"/>
        <v>38245</v>
      </c>
      <c r="BW11" s="58">
        <f t="shared" si="22"/>
        <v>35996</v>
      </c>
      <c r="BX11" s="58">
        <f t="shared" si="23"/>
        <v>27844</v>
      </c>
      <c r="BY11" s="58">
        <v>3781967</v>
      </c>
      <c r="BZ11" s="58">
        <v>1963087</v>
      </c>
      <c r="CA11" s="58">
        <v>1818880</v>
      </c>
      <c r="CB11" s="58">
        <v>27996</v>
      </c>
      <c r="CC11" s="58">
        <v>43776</v>
      </c>
      <c r="CD11" s="58">
        <v>266536</v>
      </c>
      <c r="CE11" s="58">
        <v>269721</v>
      </c>
      <c r="CF11" s="58">
        <v>237780</v>
      </c>
      <c r="CG11" s="58">
        <v>214995</v>
      </c>
      <c r="CH11" s="58">
        <v>193735</v>
      </c>
      <c r="CI11" s="58">
        <v>166737</v>
      </c>
      <c r="CJ11" s="58">
        <v>137818</v>
      </c>
      <c r="CK11" s="58">
        <v>115444</v>
      </c>
      <c r="CL11" s="58">
        <v>89996</v>
      </c>
      <c r="CM11" s="58">
        <v>68314</v>
      </c>
      <c r="CN11" s="58">
        <v>47698</v>
      </c>
      <c r="CO11" s="58">
        <v>37361</v>
      </c>
      <c r="CP11" s="58">
        <v>24685</v>
      </c>
      <c r="CQ11" s="58">
        <v>20495</v>
      </c>
      <c r="CR11" s="58">
        <v>1963087</v>
      </c>
      <c r="CS11" s="58">
        <v>28316</v>
      </c>
      <c r="CT11" s="58">
        <v>42936</v>
      </c>
      <c r="CU11" s="58">
        <v>259171</v>
      </c>
      <c r="CV11" s="58">
        <v>254680</v>
      </c>
      <c r="CW11" s="58">
        <v>214976</v>
      </c>
      <c r="CX11" s="58">
        <v>193115</v>
      </c>
      <c r="CY11" s="58">
        <v>173846</v>
      </c>
      <c r="CZ11" s="58">
        <v>150302</v>
      </c>
      <c r="DA11" s="58">
        <v>124242</v>
      </c>
      <c r="DB11" s="58">
        <v>104119</v>
      </c>
      <c r="DC11" s="58">
        <v>84446</v>
      </c>
      <c r="DD11" s="58">
        <v>66052</v>
      </c>
      <c r="DE11" s="58">
        <v>47107</v>
      </c>
      <c r="DF11" s="58">
        <v>34929</v>
      </c>
      <c r="DG11" s="58">
        <v>22591</v>
      </c>
      <c r="DH11" s="58">
        <v>18052</v>
      </c>
      <c r="DI11" s="58">
        <v>1818880</v>
      </c>
      <c r="DJ11" s="58">
        <v>56312</v>
      </c>
      <c r="DK11" s="58">
        <v>86712</v>
      </c>
      <c r="DL11" s="58">
        <v>525707</v>
      </c>
      <c r="DM11" s="58">
        <v>524401</v>
      </c>
      <c r="DN11" s="58">
        <v>452756</v>
      </c>
      <c r="DO11" s="58">
        <v>408110</v>
      </c>
      <c r="DP11" s="58">
        <v>367581</v>
      </c>
      <c r="DQ11" s="58">
        <v>317039</v>
      </c>
      <c r="DR11" s="58">
        <v>262060</v>
      </c>
      <c r="DS11" s="58">
        <v>219563</v>
      </c>
      <c r="DT11" s="58">
        <v>174442</v>
      </c>
      <c r="DU11" s="58">
        <v>134366</v>
      </c>
      <c r="DV11" s="58">
        <v>94805</v>
      </c>
      <c r="DW11" s="58">
        <v>72290</v>
      </c>
      <c r="DX11" s="58">
        <v>47276</v>
      </c>
      <c r="DY11" s="58">
        <v>38547</v>
      </c>
      <c r="DZ11" s="139">
        <v>3781967</v>
      </c>
      <c r="EA11" s="18">
        <f t="shared" si="24"/>
        <v>10</v>
      </c>
      <c r="EB11" s="18">
        <f t="shared" si="25"/>
        <v>6</v>
      </c>
      <c r="EC11" s="63">
        <f t="shared" si="26"/>
        <v>16</v>
      </c>
      <c r="ED11" s="18" t="s">
        <v>360</v>
      </c>
    </row>
    <row r="12" spans="1:134" ht="51" x14ac:dyDescent="0.2">
      <c r="A12" s="18">
        <v>8</v>
      </c>
      <c r="B12" s="18" t="s">
        <v>7</v>
      </c>
      <c r="C12" s="59">
        <v>247413</v>
      </c>
      <c r="D12" s="57">
        <f t="shared" si="1"/>
        <v>12.618946704837738</v>
      </c>
      <c r="E12" s="18">
        <v>67</v>
      </c>
      <c r="F12" s="58">
        <v>3741869</v>
      </c>
      <c r="G12" s="64">
        <f t="shared" si="2"/>
        <v>2.9694068018969063E-2</v>
      </c>
      <c r="H12" s="58">
        <v>1888047</v>
      </c>
      <c r="I12" s="58">
        <v>1853822</v>
      </c>
      <c r="J12" s="60">
        <v>12.5023885123</v>
      </c>
      <c r="K12" s="58">
        <f t="shared" si="3"/>
        <v>467823.00000131491</v>
      </c>
      <c r="L12" s="58">
        <f t="shared" si="4"/>
        <v>3274045.999998685</v>
      </c>
      <c r="M12" s="60">
        <v>15.124002067699999</v>
      </c>
      <c r="N12" s="60">
        <v>75.540000000000006</v>
      </c>
      <c r="O12" s="60">
        <v>78.72</v>
      </c>
      <c r="P12" s="60">
        <v>72.510000000000005</v>
      </c>
      <c r="Q12" s="18">
        <v>29</v>
      </c>
      <c r="R12" s="18">
        <v>30</v>
      </c>
      <c r="S12" s="18">
        <v>29</v>
      </c>
      <c r="T12" s="58">
        <v>143676</v>
      </c>
      <c r="U12" s="58">
        <v>156140</v>
      </c>
      <c r="V12" s="58">
        <v>164100</v>
      </c>
      <c r="W12" s="58">
        <v>160391</v>
      </c>
      <c r="X12" s="58">
        <v>156786</v>
      </c>
      <c r="Y12" s="58">
        <v>150455</v>
      </c>
      <c r="Z12" s="58">
        <v>139995</v>
      </c>
      <c r="AA12" s="58">
        <v>133057</v>
      </c>
      <c r="AB12" s="58">
        <v>127629</v>
      </c>
      <c r="AC12" s="58">
        <v>125284</v>
      </c>
      <c r="AD12" s="58">
        <v>112326</v>
      </c>
      <c r="AE12" s="58">
        <v>89611</v>
      </c>
      <c r="AF12" s="58">
        <v>74331</v>
      </c>
      <c r="AG12" s="58">
        <v>53691</v>
      </c>
      <c r="AH12" s="58">
        <v>39831</v>
      </c>
      <c r="AI12" s="58">
        <v>26792</v>
      </c>
      <c r="AJ12" s="58">
        <v>17114</v>
      </c>
      <c r="AK12" s="58">
        <v>13012</v>
      </c>
      <c r="AL12" s="58">
        <v>3826</v>
      </c>
      <c r="AM12" s="58">
        <v>147610</v>
      </c>
      <c r="AN12" s="58">
        <v>161182</v>
      </c>
      <c r="AO12" s="58">
        <v>169615</v>
      </c>
      <c r="AP12" s="58">
        <v>165942</v>
      </c>
      <c r="AQ12" s="58">
        <v>157281</v>
      </c>
      <c r="AR12" s="58">
        <v>147844</v>
      </c>
      <c r="AS12" s="58">
        <v>135649</v>
      </c>
      <c r="AT12" s="58">
        <v>130612</v>
      </c>
      <c r="AU12" s="58">
        <v>124354</v>
      </c>
      <c r="AV12" s="58">
        <v>123238</v>
      </c>
      <c r="AW12" s="58">
        <v>107604</v>
      </c>
      <c r="AX12" s="58">
        <v>84028</v>
      </c>
      <c r="AY12" s="58">
        <v>66530</v>
      </c>
      <c r="AZ12" s="58">
        <v>47253</v>
      </c>
      <c r="BA12" s="58">
        <v>34187</v>
      </c>
      <c r="BB12" s="58">
        <v>23473</v>
      </c>
      <c r="BC12" s="58">
        <v>14273</v>
      </c>
      <c r="BD12" s="58">
        <v>9334</v>
      </c>
      <c r="BE12" s="58">
        <v>3813</v>
      </c>
      <c r="BF12" s="58">
        <f t="shared" si="5"/>
        <v>291286</v>
      </c>
      <c r="BG12" s="58">
        <f t="shared" si="6"/>
        <v>317322</v>
      </c>
      <c r="BH12" s="58">
        <f t="shared" si="7"/>
        <v>333715</v>
      </c>
      <c r="BI12" s="58">
        <f t="shared" si="8"/>
        <v>326333</v>
      </c>
      <c r="BJ12" s="58">
        <f t="shared" si="9"/>
        <v>314067</v>
      </c>
      <c r="BK12" s="58">
        <f t="shared" si="10"/>
        <v>298299</v>
      </c>
      <c r="BL12" s="58">
        <f t="shared" si="11"/>
        <v>275644</v>
      </c>
      <c r="BM12" s="58">
        <f t="shared" si="12"/>
        <v>263669</v>
      </c>
      <c r="BN12" s="58">
        <f t="shared" si="13"/>
        <v>251983</v>
      </c>
      <c r="BO12" s="58">
        <f t="shared" si="14"/>
        <v>248522</v>
      </c>
      <c r="BP12" s="58">
        <f t="shared" si="15"/>
        <v>219930</v>
      </c>
      <c r="BQ12" s="58">
        <f t="shared" si="16"/>
        <v>173639</v>
      </c>
      <c r="BR12" s="58">
        <f t="shared" si="17"/>
        <v>140861</v>
      </c>
      <c r="BS12" s="58">
        <f t="shared" si="18"/>
        <v>100944</v>
      </c>
      <c r="BT12" s="58">
        <f t="shared" si="19"/>
        <v>74018</v>
      </c>
      <c r="BU12" s="58">
        <f t="shared" si="20"/>
        <v>50265</v>
      </c>
      <c r="BV12" s="58">
        <f t="shared" si="21"/>
        <v>31387</v>
      </c>
      <c r="BW12" s="58">
        <f t="shared" si="22"/>
        <v>22346</v>
      </c>
      <c r="BX12" s="58">
        <f t="shared" si="23"/>
        <v>7639</v>
      </c>
      <c r="BY12" s="58">
        <v>2894490</v>
      </c>
      <c r="BZ12" s="58">
        <v>1468714</v>
      </c>
      <c r="CA12" s="58">
        <v>1425776</v>
      </c>
      <c r="CB12" s="58">
        <v>22897</v>
      </c>
      <c r="CC12" s="58">
        <v>30283</v>
      </c>
      <c r="CD12" s="58">
        <v>167578</v>
      </c>
      <c r="CE12" s="58">
        <v>169839</v>
      </c>
      <c r="CF12" s="58">
        <v>155444</v>
      </c>
      <c r="CG12" s="58">
        <v>141981</v>
      </c>
      <c r="CH12" s="58">
        <v>134832</v>
      </c>
      <c r="CI12" s="58">
        <v>140659</v>
      </c>
      <c r="CJ12" s="58">
        <v>125560</v>
      </c>
      <c r="CK12" s="58">
        <v>107922</v>
      </c>
      <c r="CL12" s="58">
        <v>87286</v>
      </c>
      <c r="CM12" s="58">
        <v>63344</v>
      </c>
      <c r="CN12" s="58">
        <v>48121</v>
      </c>
      <c r="CO12" s="58">
        <v>33146</v>
      </c>
      <c r="CP12" s="58">
        <v>22084</v>
      </c>
      <c r="CQ12" s="58">
        <v>17738</v>
      </c>
      <c r="CR12" s="58">
        <v>1468714</v>
      </c>
      <c r="CS12" s="58">
        <v>22816</v>
      </c>
      <c r="CT12" s="58">
        <v>30168</v>
      </c>
      <c r="CU12" s="58">
        <v>169550</v>
      </c>
      <c r="CV12" s="58">
        <v>172690</v>
      </c>
      <c r="CW12" s="58">
        <v>156925</v>
      </c>
      <c r="CX12" s="58">
        <v>142817</v>
      </c>
      <c r="CY12" s="58">
        <v>135581</v>
      </c>
      <c r="CZ12" s="58">
        <v>139021</v>
      </c>
      <c r="DA12" s="58">
        <v>121631</v>
      </c>
      <c r="DB12" s="58">
        <v>100603</v>
      </c>
      <c r="DC12" s="58">
        <v>77941</v>
      </c>
      <c r="DD12" s="58">
        <v>56027</v>
      </c>
      <c r="DE12" s="58">
        <v>40988</v>
      </c>
      <c r="DF12" s="58">
        <v>27960</v>
      </c>
      <c r="DG12" s="58">
        <v>17781</v>
      </c>
      <c r="DH12" s="58">
        <v>13277</v>
      </c>
      <c r="DI12" s="58">
        <v>1425776</v>
      </c>
      <c r="DJ12" s="58">
        <v>45713</v>
      </c>
      <c r="DK12" s="58">
        <v>60451</v>
      </c>
      <c r="DL12" s="58">
        <v>337128</v>
      </c>
      <c r="DM12" s="58">
        <v>342529</v>
      </c>
      <c r="DN12" s="58">
        <v>312369</v>
      </c>
      <c r="DO12" s="58">
        <v>284798</v>
      </c>
      <c r="DP12" s="58">
        <v>270413</v>
      </c>
      <c r="DQ12" s="58">
        <v>279680</v>
      </c>
      <c r="DR12" s="58">
        <v>247191</v>
      </c>
      <c r="DS12" s="58">
        <v>208525</v>
      </c>
      <c r="DT12" s="58">
        <v>165227</v>
      </c>
      <c r="DU12" s="58">
        <v>119371</v>
      </c>
      <c r="DV12" s="58">
        <v>89109</v>
      </c>
      <c r="DW12" s="58">
        <v>61106</v>
      </c>
      <c r="DX12" s="58">
        <v>39865</v>
      </c>
      <c r="DY12" s="58">
        <v>31015</v>
      </c>
      <c r="DZ12" s="139">
        <v>2894490</v>
      </c>
      <c r="EA12" s="18">
        <f t="shared" si="24"/>
        <v>1</v>
      </c>
      <c r="EB12" s="18">
        <f t="shared" si="25"/>
        <v>12</v>
      </c>
      <c r="EC12" s="63">
        <f t="shared" si="26"/>
        <v>30</v>
      </c>
      <c r="ED12" s="18" t="s">
        <v>361</v>
      </c>
    </row>
    <row r="13" spans="1:134" ht="40.799999999999997" x14ac:dyDescent="0.2">
      <c r="A13" s="18">
        <v>9</v>
      </c>
      <c r="B13" s="18" t="s">
        <v>8</v>
      </c>
      <c r="C13" s="59">
        <v>1494.32</v>
      </c>
      <c r="D13" s="57">
        <f t="shared" si="1"/>
        <v>7.6215657382486493E-2</v>
      </c>
      <c r="E13" s="18">
        <v>16</v>
      </c>
      <c r="F13" s="58">
        <v>9209944</v>
      </c>
      <c r="G13" s="64">
        <f t="shared" si="2"/>
        <v>7.3086658989637537E-2</v>
      </c>
      <c r="H13" s="58">
        <v>4805017</v>
      </c>
      <c r="I13" s="58">
        <v>4404927</v>
      </c>
      <c r="J13" s="60">
        <v>0.69828871920000002</v>
      </c>
      <c r="K13" s="58">
        <f t="shared" si="3"/>
        <v>64311.999996637249</v>
      </c>
      <c r="L13" s="58">
        <f t="shared" si="4"/>
        <v>9145632.0000033621</v>
      </c>
      <c r="M13" s="60">
        <v>6163.3204685010996</v>
      </c>
      <c r="N13" s="60">
        <v>76.7</v>
      </c>
      <c r="O13" s="60">
        <v>79.59</v>
      </c>
      <c r="P13" s="60">
        <v>73.650000000000006</v>
      </c>
      <c r="Q13" s="18">
        <v>35</v>
      </c>
      <c r="R13" s="18">
        <v>36</v>
      </c>
      <c r="S13" s="18">
        <v>34</v>
      </c>
      <c r="T13" s="58">
        <v>237027</v>
      </c>
      <c r="U13" s="58">
        <v>277627</v>
      </c>
      <c r="V13" s="58">
        <v>299822</v>
      </c>
      <c r="W13" s="58">
        <v>319280</v>
      </c>
      <c r="X13" s="58">
        <v>355556</v>
      </c>
      <c r="Y13" s="58">
        <v>380208</v>
      </c>
      <c r="Z13" s="58">
        <v>380163</v>
      </c>
      <c r="AA13" s="58">
        <v>365305</v>
      </c>
      <c r="AB13" s="58">
        <v>352995</v>
      </c>
      <c r="AC13" s="58">
        <v>355099</v>
      </c>
      <c r="AD13" s="58">
        <v>337089</v>
      </c>
      <c r="AE13" s="58">
        <v>286796</v>
      </c>
      <c r="AF13" s="58">
        <v>260449</v>
      </c>
      <c r="AG13" s="58">
        <v>198951</v>
      </c>
      <c r="AH13" s="58">
        <v>152614</v>
      </c>
      <c r="AI13" s="58">
        <v>101005</v>
      </c>
      <c r="AJ13" s="58">
        <v>71386</v>
      </c>
      <c r="AK13" s="58">
        <v>68802</v>
      </c>
      <c r="AL13" s="58">
        <v>4843</v>
      </c>
      <c r="AM13" s="58">
        <v>242877</v>
      </c>
      <c r="AN13" s="58">
        <v>286280</v>
      </c>
      <c r="AO13" s="58">
        <v>309140</v>
      </c>
      <c r="AP13" s="58">
        <v>331109</v>
      </c>
      <c r="AQ13" s="58">
        <v>359049</v>
      </c>
      <c r="AR13" s="58">
        <v>372081</v>
      </c>
      <c r="AS13" s="58">
        <v>363448</v>
      </c>
      <c r="AT13" s="58">
        <v>340545</v>
      </c>
      <c r="AU13" s="58">
        <v>317312</v>
      </c>
      <c r="AV13" s="58">
        <v>313846</v>
      </c>
      <c r="AW13" s="58">
        <v>286394</v>
      </c>
      <c r="AX13" s="58">
        <v>239651</v>
      </c>
      <c r="AY13" s="58">
        <v>209065</v>
      </c>
      <c r="AZ13" s="58">
        <v>157245</v>
      </c>
      <c r="BA13" s="58">
        <v>115130</v>
      </c>
      <c r="BB13" s="58">
        <v>74210</v>
      </c>
      <c r="BC13" s="58">
        <v>46094</v>
      </c>
      <c r="BD13" s="58">
        <v>36668</v>
      </c>
      <c r="BE13" s="58">
        <v>4783</v>
      </c>
      <c r="BF13" s="58">
        <f t="shared" si="5"/>
        <v>479904</v>
      </c>
      <c r="BG13" s="58">
        <f t="shared" si="6"/>
        <v>563907</v>
      </c>
      <c r="BH13" s="58">
        <f t="shared" si="7"/>
        <v>608962</v>
      </c>
      <c r="BI13" s="58">
        <f t="shared" si="8"/>
        <v>650389</v>
      </c>
      <c r="BJ13" s="58">
        <f t="shared" si="9"/>
        <v>714605</v>
      </c>
      <c r="BK13" s="58">
        <f t="shared" si="10"/>
        <v>752289</v>
      </c>
      <c r="BL13" s="58">
        <f t="shared" si="11"/>
        <v>743611</v>
      </c>
      <c r="BM13" s="58">
        <f t="shared" si="12"/>
        <v>705850</v>
      </c>
      <c r="BN13" s="58">
        <f t="shared" si="13"/>
        <v>670307</v>
      </c>
      <c r="BO13" s="58">
        <f t="shared" si="14"/>
        <v>668945</v>
      </c>
      <c r="BP13" s="58">
        <f t="shared" si="15"/>
        <v>623483</v>
      </c>
      <c r="BQ13" s="58">
        <f t="shared" si="16"/>
        <v>526447</v>
      </c>
      <c r="BR13" s="58">
        <f t="shared" si="17"/>
        <v>469514</v>
      </c>
      <c r="BS13" s="58">
        <f t="shared" si="18"/>
        <v>356196</v>
      </c>
      <c r="BT13" s="58">
        <f t="shared" si="19"/>
        <v>267744</v>
      </c>
      <c r="BU13" s="58">
        <f t="shared" si="20"/>
        <v>175215</v>
      </c>
      <c r="BV13" s="58">
        <f t="shared" si="21"/>
        <v>117480</v>
      </c>
      <c r="BW13" s="58">
        <f t="shared" si="22"/>
        <v>105470</v>
      </c>
      <c r="BX13" s="58">
        <f t="shared" si="23"/>
        <v>9626</v>
      </c>
      <c r="BY13" s="58">
        <v>7772518</v>
      </c>
      <c r="BZ13" s="58">
        <v>4117534</v>
      </c>
      <c r="CA13" s="58">
        <v>3654984</v>
      </c>
      <c r="CB13" s="58">
        <v>40335</v>
      </c>
      <c r="CC13" s="58">
        <v>62091</v>
      </c>
      <c r="CD13" s="58">
        <v>375885</v>
      </c>
      <c r="CE13" s="58">
        <v>416429</v>
      </c>
      <c r="CF13" s="58">
        <v>412357</v>
      </c>
      <c r="CG13" s="58">
        <v>395069</v>
      </c>
      <c r="CH13" s="58">
        <v>376069</v>
      </c>
      <c r="CI13" s="58">
        <v>397410</v>
      </c>
      <c r="CJ13" s="58">
        <v>360474</v>
      </c>
      <c r="CK13" s="58">
        <v>324787</v>
      </c>
      <c r="CL13" s="58">
        <v>282310</v>
      </c>
      <c r="CM13" s="58">
        <v>224076</v>
      </c>
      <c r="CN13" s="58">
        <v>168856</v>
      </c>
      <c r="CO13" s="58">
        <v>118942</v>
      </c>
      <c r="CP13" s="58">
        <v>78886</v>
      </c>
      <c r="CQ13" s="58">
        <v>83558</v>
      </c>
      <c r="CR13" s="58">
        <v>4117534</v>
      </c>
      <c r="CS13" s="58">
        <v>41552</v>
      </c>
      <c r="CT13" s="58">
        <v>63033</v>
      </c>
      <c r="CU13" s="58">
        <v>378714</v>
      </c>
      <c r="CV13" s="58">
        <v>417676</v>
      </c>
      <c r="CW13" s="58">
        <v>399599</v>
      </c>
      <c r="CX13" s="58">
        <v>372876</v>
      </c>
      <c r="CY13" s="58">
        <v>342588</v>
      </c>
      <c r="CZ13" s="58">
        <v>352432</v>
      </c>
      <c r="DA13" s="58">
        <v>309628</v>
      </c>
      <c r="DB13" s="58">
        <v>269569</v>
      </c>
      <c r="DC13" s="58">
        <v>227632</v>
      </c>
      <c r="DD13" s="58">
        <v>174729</v>
      </c>
      <c r="DE13" s="58">
        <v>126955</v>
      </c>
      <c r="DF13" s="58">
        <v>83923</v>
      </c>
      <c r="DG13" s="58">
        <v>50927</v>
      </c>
      <c r="DH13" s="58">
        <v>43151</v>
      </c>
      <c r="DI13" s="58">
        <v>3654984</v>
      </c>
      <c r="DJ13" s="58">
        <v>81887</v>
      </c>
      <c r="DK13" s="58">
        <v>125124</v>
      </c>
      <c r="DL13" s="58">
        <v>754599</v>
      </c>
      <c r="DM13" s="58">
        <v>834105</v>
      </c>
      <c r="DN13" s="58">
        <v>811956</v>
      </c>
      <c r="DO13" s="58">
        <v>767945</v>
      </c>
      <c r="DP13" s="58">
        <v>718657</v>
      </c>
      <c r="DQ13" s="58">
        <v>749842</v>
      </c>
      <c r="DR13" s="58">
        <v>670102</v>
      </c>
      <c r="DS13" s="58">
        <v>594356</v>
      </c>
      <c r="DT13" s="58">
        <v>509942</v>
      </c>
      <c r="DU13" s="58">
        <v>398805</v>
      </c>
      <c r="DV13" s="58">
        <v>295811</v>
      </c>
      <c r="DW13" s="58">
        <v>202865</v>
      </c>
      <c r="DX13" s="58">
        <v>129813</v>
      </c>
      <c r="DY13" s="58">
        <v>126709</v>
      </c>
      <c r="DZ13" s="139">
        <v>7772518</v>
      </c>
      <c r="EA13" s="18">
        <f t="shared" si="24"/>
        <v>32</v>
      </c>
      <c r="EB13" s="18">
        <f t="shared" si="25"/>
        <v>26</v>
      </c>
      <c r="EC13" s="63">
        <f t="shared" si="26"/>
        <v>1</v>
      </c>
      <c r="ED13" s="18" t="s">
        <v>354</v>
      </c>
    </row>
    <row r="14" spans="1:134" ht="51" x14ac:dyDescent="0.2">
      <c r="A14" s="18">
        <v>10</v>
      </c>
      <c r="B14" s="18" t="s">
        <v>9</v>
      </c>
      <c r="C14" s="59">
        <v>123364</v>
      </c>
      <c r="D14" s="57">
        <f t="shared" si="1"/>
        <v>6.2920046290841745</v>
      </c>
      <c r="E14" s="18">
        <v>39</v>
      </c>
      <c r="F14" s="58">
        <v>1832650</v>
      </c>
      <c r="G14" s="64">
        <f t="shared" si="2"/>
        <v>1.4543222586082958E-2</v>
      </c>
      <c r="H14" s="58">
        <v>927784</v>
      </c>
      <c r="I14" s="58">
        <v>904866</v>
      </c>
      <c r="J14" s="60">
        <v>27.625023872500002</v>
      </c>
      <c r="K14" s="58">
        <f t="shared" si="3"/>
        <v>506269.9999993713</v>
      </c>
      <c r="L14" s="58">
        <f t="shared" si="4"/>
        <v>1326380.0000006286</v>
      </c>
      <c r="M14" s="60">
        <v>14.855625379299999</v>
      </c>
      <c r="N14" s="60">
        <v>75.25</v>
      </c>
      <c r="O14" s="60">
        <v>78.400000000000006</v>
      </c>
      <c r="P14" s="60">
        <v>72.22</v>
      </c>
      <c r="Q14" s="18">
        <v>27</v>
      </c>
      <c r="R14" s="18">
        <v>28</v>
      </c>
      <c r="S14" s="18">
        <v>27</v>
      </c>
      <c r="T14" s="58">
        <v>82519</v>
      </c>
      <c r="U14" s="58">
        <v>86217</v>
      </c>
      <c r="V14" s="58">
        <v>83507</v>
      </c>
      <c r="W14" s="58">
        <v>80151</v>
      </c>
      <c r="X14" s="58">
        <v>76652</v>
      </c>
      <c r="Y14" s="58">
        <v>72069</v>
      </c>
      <c r="Z14" s="58">
        <v>66294</v>
      </c>
      <c r="AA14" s="58">
        <v>61196</v>
      </c>
      <c r="AB14" s="58">
        <v>59198</v>
      </c>
      <c r="AC14" s="58">
        <v>55761</v>
      </c>
      <c r="AD14" s="58">
        <v>51029</v>
      </c>
      <c r="AE14" s="58">
        <v>42026</v>
      </c>
      <c r="AF14" s="58">
        <v>34901</v>
      </c>
      <c r="AG14" s="58">
        <v>25969</v>
      </c>
      <c r="AH14" s="58">
        <v>19198</v>
      </c>
      <c r="AI14" s="58">
        <v>13096</v>
      </c>
      <c r="AJ14" s="58">
        <v>8968</v>
      </c>
      <c r="AK14" s="58">
        <v>7434</v>
      </c>
      <c r="AL14" s="58">
        <v>1599</v>
      </c>
      <c r="AM14" s="58">
        <v>85081</v>
      </c>
      <c r="AN14" s="58">
        <v>89816</v>
      </c>
      <c r="AO14" s="58">
        <v>86764</v>
      </c>
      <c r="AP14" s="58">
        <v>82839</v>
      </c>
      <c r="AQ14" s="58">
        <v>76936</v>
      </c>
      <c r="AR14" s="58">
        <v>69038</v>
      </c>
      <c r="AS14" s="58">
        <v>63232</v>
      </c>
      <c r="AT14" s="58">
        <v>57634</v>
      </c>
      <c r="AU14" s="58">
        <v>55778</v>
      </c>
      <c r="AV14" s="58">
        <v>52309</v>
      </c>
      <c r="AW14" s="58">
        <v>45980</v>
      </c>
      <c r="AX14" s="58">
        <v>37971</v>
      </c>
      <c r="AY14" s="58">
        <v>31635</v>
      </c>
      <c r="AZ14" s="58">
        <v>23758</v>
      </c>
      <c r="BA14" s="58">
        <v>17758</v>
      </c>
      <c r="BB14" s="58">
        <v>12593</v>
      </c>
      <c r="BC14" s="58">
        <v>8058</v>
      </c>
      <c r="BD14" s="58">
        <v>6110</v>
      </c>
      <c r="BE14" s="58">
        <v>1576</v>
      </c>
      <c r="BF14" s="58">
        <f t="shared" si="5"/>
        <v>167600</v>
      </c>
      <c r="BG14" s="58">
        <f t="shared" si="6"/>
        <v>176033</v>
      </c>
      <c r="BH14" s="58">
        <f t="shared" si="7"/>
        <v>170271</v>
      </c>
      <c r="BI14" s="58">
        <f t="shared" si="8"/>
        <v>162990</v>
      </c>
      <c r="BJ14" s="58">
        <f t="shared" si="9"/>
        <v>153588</v>
      </c>
      <c r="BK14" s="58">
        <f t="shared" si="10"/>
        <v>141107</v>
      </c>
      <c r="BL14" s="58">
        <f t="shared" si="11"/>
        <v>129526</v>
      </c>
      <c r="BM14" s="58">
        <f t="shared" si="12"/>
        <v>118830</v>
      </c>
      <c r="BN14" s="58">
        <f t="shared" si="13"/>
        <v>114976</v>
      </c>
      <c r="BO14" s="58">
        <f t="shared" si="14"/>
        <v>108070</v>
      </c>
      <c r="BP14" s="58">
        <f t="shared" si="15"/>
        <v>97009</v>
      </c>
      <c r="BQ14" s="58">
        <f t="shared" si="16"/>
        <v>79997</v>
      </c>
      <c r="BR14" s="58">
        <f t="shared" si="17"/>
        <v>66536</v>
      </c>
      <c r="BS14" s="58">
        <f t="shared" si="18"/>
        <v>49727</v>
      </c>
      <c r="BT14" s="58">
        <f t="shared" si="19"/>
        <v>36956</v>
      </c>
      <c r="BU14" s="58">
        <f t="shared" si="20"/>
        <v>25689</v>
      </c>
      <c r="BV14" s="58">
        <f t="shared" si="21"/>
        <v>17026</v>
      </c>
      <c r="BW14" s="58">
        <f t="shared" si="22"/>
        <v>13544</v>
      </c>
      <c r="BX14" s="58">
        <f t="shared" si="23"/>
        <v>3175</v>
      </c>
      <c r="BY14" s="58">
        <v>1333864</v>
      </c>
      <c r="BZ14" s="58">
        <v>681312</v>
      </c>
      <c r="CA14" s="58">
        <v>652552</v>
      </c>
      <c r="CB14" s="58">
        <v>10759</v>
      </c>
      <c r="CC14" s="58">
        <v>13898</v>
      </c>
      <c r="CD14" s="58">
        <v>80533</v>
      </c>
      <c r="CE14" s="58">
        <v>81272</v>
      </c>
      <c r="CF14" s="58">
        <v>73064</v>
      </c>
      <c r="CG14" s="58">
        <v>65024</v>
      </c>
      <c r="CH14" s="58">
        <v>61804</v>
      </c>
      <c r="CI14" s="58">
        <v>61345</v>
      </c>
      <c r="CJ14" s="58">
        <v>54465</v>
      </c>
      <c r="CK14" s="58">
        <v>48124</v>
      </c>
      <c r="CL14" s="58">
        <v>39282</v>
      </c>
      <c r="CM14" s="58">
        <v>30158</v>
      </c>
      <c r="CN14" s="58">
        <v>23030</v>
      </c>
      <c r="CO14" s="58">
        <v>16411</v>
      </c>
      <c r="CP14" s="58">
        <v>11372</v>
      </c>
      <c r="CQ14" s="58">
        <v>10771</v>
      </c>
      <c r="CR14" s="58">
        <v>681312</v>
      </c>
      <c r="CS14" s="58">
        <v>10561</v>
      </c>
      <c r="CT14" s="58">
        <v>14194</v>
      </c>
      <c r="CU14" s="58">
        <v>80989</v>
      </c>
      <c r="CV14" s="58">
        <v>81446</v>
      </c>
      <c r="CW14" s="58">
        <v>71329</v>
      </c>
      <c r="CX14" s="58">
        <v>62655</v>
      </c>
      <c r="CY14" s="58">
        <v>59868</v>
      </c>
      <c r="CZ14" s="58">
        <v>58678</v>
      </c>
      <c r="DA14" s="58">
        <v>50365</v>
      </c>
      <c r="DB14" s="58">
        <v>43755</v>
      </c>
      <c r="DC14" s="58">
        <v>35804</v>
      </c>
      <c r="DD14" s="58">
        <v>27519</v>
      </c>
      <c r="DE14" s="58">
        <v>21258</v>
      </c>
      <c r="DF14" s="58">
        <v>14950</v>
      </c>
      <c r="DG14" s="58">
        <v>10249</v>
      </c>
      <c r="DH14" s="58">
        <v>8932</v>
      </c>
      <c r="DI14" s="58">
        <v>652552</v>
      </c>
      <c r="DJ14" s="58">
        <v>21320</v>
      </c>
      <c r="DK14" s="58">
        <v>28092</v>
      </c>
      <c r="DL14" s="58">
        <v>161522</v>
      </c>
      <c r="DM14" s="58">
        <v>162718</v>
      </c>
      <c r="DN14" s="58">
        <v>144393</v>
      </c>
      <c r="DO14" s="58">
        <v>127679</v>
      </c>
      <c r="DP14" s="58">
        <v>121672</v>
      </c>
      <c r="DQ14" s="58">
        <v>120023</v>
      </c>
      <c r="DR14" s="58">
        <v>104830</v>
      </c>
      <c r="DS14" s="58">
        <v>91879</v>
      </c>
      <c r="DT14" s="58">
        <v>75086</v>
      </c>
      <c r="DU14" s="58">
        <v>57677</v>
      </c>
      <c r="DV14" s="58">
        <v>44288</v>
      </c>
      <c r="DW14" s="58">
        <v>31361</v>
      </c>
      <c r="DX14" s="58">
        <v>21621</v>
      </c>
      <c r="DY14" s="58">
        <v>19703</v>
      </c>
      <c r="DZ14" s="139">
        <v>1333864</v>
      </c>
      <c r="EA14" s="18">
        <f t="shared" si="24"/>
        <v>4</v>
      </c>
      <c r="EB14" s="18">
        <f t="shared" si="25"/>
        <v>19</v>
      </c>
      <c r="EC14" s="63">
        <f t="shared" si="26"/>
        <v>31</v>
      </c>
      <c r="ED14" s="18" t="s">
        <v>362</v>
      </c>
    </row>
    <row r="15" spans="1:134" ht="40.799999999999997" x14ac:dyDescent="0.2">
      <c r="A15" s="18">
        <v>11</v>
      </c>
      <c r="B15" s="18" t="s">
        <v>10</v>
      </c>
      <c r="C15" s="59">
        <v>30606.7</v>
      </c>
      <c r="D15" s="57">
        <f t="shared" si="1"/>
        <v>1.5610510204029588</v>
      </c>
      <c r="E15" s="18">
        <v>46</v>
      </c>
      <c r="F15" s="58">
        <v>6166934</v>
      </c>
      <c r="G15" s="64">
        <f t="shared" si="2"/>
        <v>4.8938473705117141E-2</v>
      </c>
      <c r="H15" s="58">
        <v>3170480</v>
      </c>
      <c r="I15" s="58">
        <v>2996454</v>
      </c>
      <c r="J15" s="60">
        <v>27.922724647300001</v>
      </c>
      <c r="K15" s="58">
        <f t="shared" si="3"/>
        <v>1721976.0000007239</v>
      </c>
      <c r="L15" s="58">
        <f t="shared" si="4"/>
        <v>4444957.9999992764</v>
      </c>
      <c r="M15" s="60">
        <v>201.48984453770001</v>
      </c>
      <c r="N15" s="60">
        <v>75.349999999999994</v>
      </c>
      <c r="O15" s="60">
        <v>78.41</v>
      </c>
      <c r="P15" s="60">
        <v>72.28</v>
      </c>
      <c r="Q15" s="18">
        <v>28</v>
      </c>
      <c r="R15" s="18">
        <v>29</v>
      </c>
      <c r="S15" s="18">
        <v>27</v>
      </c>
      <c r="T15" s="58">
        <v>266101</v>
      </c>
      <c r="U15" s="58">
        <v>270116</v>
      </c>
      <c r="V15" s="58">
        <v>270625</v>
      </c>
      <c r="W15" s="58">
        <v>274115</v>
      </c>
      <c r="X15" s="58">
        <v>273439</v>
      </c>
      <c r="Y15" s="58">
        <v>259842</v>
      </c>
      <c r="Z15" s="58">
        <v>243969</v>
      </c>
      <c r="AA15" s="58">
        <v>230767</v>
      </c>
      <c r="AB15" s="58">
        <v>214681</v>
      </c>
      <c r="AC15" s="58">
        <v>191241</v>
      </c>
      <c r="AD15" s="58">
        <v>169887</v>
      </c>
      <c r="AE15" s="58">
        <v>133874</v>
      </c>
      <c r="AF15" s="58">
        <v>114923</v>
      </c>
      <c r="AG15" s="58">
        <v>85867</v>
      </c>
      <c r="AH15" s="58">
        <v>62892</v>
      </c>
      <c r="AI15" s="58">
        <v>42868</v>
      </c>
      <c r="AJ15" s="58">
        <v>29911</v>
      </c>
      <c r="AK15" s="58">
        <v>29319</v>
      </c>
      <c r="AL15" s="58">
        <v>6043</v>
      </c>
      <c r="AM15" s="58">
        <v>272745</v>
      </c>
      <c r="AN15" s="58">
        <v>277429</v>
      </c>
      <c r="AO15" s="58">
        <v>278676</v>
      </c>
      <c r="AP15" s="58">
        <v>277977</v>
      </c>
      <c r="AQ15" s="58">
        <v>267148</v>
      </c>
      <c r="AR15" s="58">
        <v>242026</v>
      </c>
      <c r="AS15" s="58">
        <v>218363</v>
      </c>
      <c r="AT15" s="58">
        <v>208278</v>
      </c>
      <c r="AU15" s="58">
        <v>192549</v>
      </c>
      <c r="AV15" s="58">
        <v>174419</v>
      </c>
      <c r="AW15" s="58">
        <v>148310</v>
      </c>
      <c r="AX15" s="58">
        <v>116934</v>
      </c>
      <c r="AY15" s="58">
        <v>99483</v>
      </c>
      <c r="AZ15" s="58">
        <v>75898</v>
      </c>
      <c r="BA15" s="58">
        <v>55393</v>
      </c>
      <c r="BB15" s="58">
        <v>38242</v>
      </c>
      <c r="BC15" s="58">
        <v>24455</v>
      </c>
      <c r="BD15" s="58">
        <v>22123</v>
      </c>
      <c r="BE15" s="58">
        <v>6006</v>
      </c>
      <c r="BF15" s="58">
        <f t="shared" si="5"/>
        <v>538846</v>
      </c>
      <c r="BG15" s="58">
        <f t="shared" si="6"/>
        <v>547545</v>
      </c>
      <c r="BH15" s="58">
        <f t="shared" si="7"/>
        <v>549301</v>
      </c>
      <c r="BI15" s="58">
        <f t="shared" si="8"/>
        <v>552092</v>
      </c>
      <c r="BJ15" s="58">
        <f t="shared" si="9"/>
        <v>540587</v>
      </c>
      <c r="BK15" s="58">
        <f t="shared" si="10"/>
        <v>501868</v>
      </c>
      <c r="BL15" s="58">
        <f t="shared" si="11"/>
        <v>462332</v>
      </c>
      <c r="BM15" s="58">
        <f t="shared" si="12"/>
        <v>439045</v>
      </c>
      <c r="BN15" s="58">
        <f t="shared" si="13"/>
        <v>407230</v>
      </c>
      <c r="BO15" s="58">
        <f t="shared" si="14"/>
        <v>365660</v>
      </c>
      <c r="BP15" s="58">
        <f t="shared" si="15"/>
        <v>318197</v>
      </c>
      <c r="BQ15" s="58">
        <f t="shared" si="16"/>
        <v>250808</v>
      </c>
      <c r="BR15" s="58">
        <f t="shared" si="17"/>
        <v>214406</v>
      </c>
      <c r="BS15" s="58">
        <f t="shared" si="18"/>
        <v>161765</v>
      </c>
      <c r="BT15" s="58">
        <f t="shared" si="19"/>
        <v>118285</v>
      </c>
      <c r="BU15" s="58">
        <f t="shared" si="20"/>
        <v>81110</v>
      </c>
      <c r="BV15" s="58">
        <f t="shared" si="21"/>
        <v>54366</v>
      </c>
      <c r="BW15" s="58">
        <f t="shared" si="22"/>
        <v>51442</v>
      </c>
      <c r="BX15" s="58">
        <f t="shared" si="23"/>
        <v>12049</v>
      </c>
      <c r="BY15" s="58">
        <v>4583718</v>
      </c>
      <c r="BZ15" s="58">
        <v>2388510</v>
      </c>
      <c r="CA15" s="58">
        <v>2195208</v>
      </c>
      <c r="CB15" s="58">
        <v>33315</v>
      </c>
      <c r="CC15" s="58">
        <v>49564</v>
      </c>
      <c r="CD15" s="58">
        <v>291442</v>
      </c>
      <c r="CE15" s="58">
        <v>294668</v>
      </c>
      <c r="CF15" s="58">
        <v>266081</v>
      </c>
      <c r="CG15" s="58">
        <v>246392</v>
      </c>
      <c r="CH15" s="58">
        <v>229573</v>
      </c>
      <c r="CI15" s="58">
        <v>218283</v>
      </c>
      <c r="CJ15" s="58">
        <v>184744</v>
      </c>
      <c r="CK15" s="58">
        <v>158151</v>
      </c>
      <c r="CL15" s="58">
        <v>127800</v>
      </c>
      <c r="CM15" s="58">
        <v>97898</v>
      </c>
      <c r="CN15" s="58">
        <v>71475</v>
      </c>
      <c r="CO15" s="58">
        <v>50798</v>
      </c>
      <c r="CP15" s="58">
        <v>33940</v>
      </c>
      <c r="CQ15" s="58">
        <v>34386</v>
      </c>
      <c r="CR15" s="58">
        <v>2388510</v>
      </c>
      <c r="CS15" s="58">
        <v>32385</v>
      </c>
      <c r="CT15" s="58">
        <v>48463</v>
      </c>
      <c r="CU15" s="58">
        <v>286989</v>
      </c>
      <c r="CV15" s="58">
        <v>291663</v>
      </c>
      <c r="CW15" s="58">
        <v>250611</v>
      </c>
      <c r="CX15" s="58">
        <v>226202</v>
      </c>
      <c r="CY15" s="58">
        <v>208834</v>
      </c>
      <c r="CZ15" s="58">
        <v>196662</v>
      </c>
      <c r="DA15" s="58">
        <v>163391</v>
      </c>
      <c r="DB15" s="58">
        <v>136282</v>
      </c>
      <c r="DC15" s="58">
        <v>110855</v>
      </c>
      <c r="DD15" s="58">
        <v>85991</v>
      </c>
      <c r="DE15" s="58">
        <v>62378</v>
      </c>
      <c r="DF15" s="58">
        <v>42727</v>
      </c>
      <c r="DG15" s="58">
        <v>27013</v>
      </c>
      <c r="DH15" s="58">
        <v>24762</v>
      </c>
      <c r="DI15" s="58">
        <v>2195208</v>
      </c>
      <c r="DJ15" s="58">
        <v>65700</v>
      </c>
      <c r="DK15" s="58">
        <v>98027</v>
      </c>
      <c r="DL15" s="58">
        <v>578431</v>
      </c>
      <c r="DM15" s="58">
        <v>586331</v>
      </c>
      <c r="DN15" s="58">
        <v>516692</v>
      </c>
      <c r="DO15" s="58">
        <v>472594</v>
      </c>
      <c r="DP15" s="58">
        <v>438407</v>
      </c>
      <c r="DQ15" s="58">
        <v>414945</v>
      </c>
      <c r="DR15" s="58">
        <v>348135</v>
      </c>
      <c r="DS15" s="58">
        <v>294433</v>
      </c>
      <c r="DT15" s="58">
        <v>238655</v>
      </c>
      <c r="DU15" s="58">
        <v>183889</v>
      </c>
      <c r="DV15" s="58">
        <v>133853</v>
      </c>
      <c r="DW15" s="58">
        <v>93525</v>
      </c>
      <c r="DX15" s="58">
        <v>60953</v>
      </c>
      <c r="DY15" s="58">
        <v>59148</v>
      </c>
      <c r="DZ15" s="139">
        <v>4583718</v>
      </c>
      <c r="EA15" s="18">
        <f t="shared" si="24"/>
        <v>22</v>
      </c>
      <c r="EB15" s="18">
        <f t="shared" si="25"/>
        <v>17</v>
      </c>
      <c r="EC15" s="63">
        <f t="shared" si="26"/>
        <v>7</v>
      </c>
      <c r="ED15" s="18" t="s">
        <v>363</v>
      </c>
    </row>
    <row r="16" spans="1:134" ht="40.799999999999997" x14ac:dyDescent="0.2">
      <c r="A16" s="18">
        <v>12</v>
      </c>
      <c r="B16" s="18" t="s">
        <v>11</v>
      </c>
      <c r="C16" s="59">
        <v>63595.9</v>
      </c>
      <c r="D16" s="57">
        <f t="shared" si="1"/>
        <v>3.2436180505720813</v>
      </c>
      <c r="E16" s="18">
        <v>81</v>
      </c>
      <c r="F16" s="58">
        <v>3540685</v>
      </c>
      <c r="G16" s="64">
        <f t="shared" si="2"/>
        <v>2.8097547301560659E-2</v>
      </c>
      <c r="H16" s="58">
        <v>1840073</v>
      </c>
      <c r="I16" s="58">
        <v>1700612</v>
      </c>
      <c r="J16" s="60">
        <v>40.346514869300002</v>
      </c>
      <c r="K16" s="58">
        <f t="shared" si="3"/>
        <v>1428543.0000000747</v>
      </c>
      <c r="L16" s="58">
        <f t="shared" si="4"/>
        <v>2112141.9999999255</v>
      </c>
      <c r="M16" s="60">
        <v>55.674754392099999</v>
      </c>
      <c r="N16" s="60">
        <v>73.459999999999994</v>
      </c>
      <c r="O16" s="60">
        <v>76.48</v>
      </c>
      <c r="P16" s="60">
        <v>70.39</v>
      </c>
      <c r="Q16" s="18">
        <v>27</v>
      </c>
      <c r="R16" s="18">
        <v>28</v>
      </c>
      <c r="S16" s="18">
        <v>26</v>
      </c>
      <c r="T16" s="58">
        <v>166126</v>
      </c>
      <c r="U16" s="58">
        <v>173847</v>
      </c>
      <c r="V16" s="58">
        <v>172260</v>
      </c>
      <c r="W16" s="58">
        <v>163920</v>
      </c>
      <c r="X16" s="58">
        <v>148277</v>
      </c>
      <c r="Y16" s="58">
        <v>137839</v>
      </c>
      <c r="Z16" s="58">
        <v>128332</v>
      </c>
      <c r="AA16" s="58">
        <v>119168</v>
      </c>
      <c r="AB16" s="58">
        <v>111478</v>
      </c>
      <c r="AC16" s="58">
        <v>101207</v>
      </c>
      <c r="AD16" s="58">
        <v>93679</v>
      </c>
      <c r="AE16" s="58">
        <v>79708</v>
      </c>
      <c r="AF16" s="58">
        <v>67470</v>
      </c>
      <c r="AG16" s="58">
        <v>55525</v>
      </c>
      <c r="AH16" s="58">
        <v>40798</v>
      </c>
      <c r="AI16" s="58">
        <v>30599</v>
      </c>
      <c r="AJ16" s="58">
        <v>21313</v>
      </c>
      <c r="AK16" s="58">
        <v>21306</v>
      </c>
      <c r="AL16" s="58">
        <v>7221</v>
      </c>
      <c r="AM16" s="58">
        <v>169332</v>
      </c>
      <c r="AN16" s="58">
        <v>177163</v>
      </c>
      <c r="AO16" s="58">
        <v>176233</v>
      </c>
      <c r="AP16" s="58">
        <v>162620</v>
      </c>
      <c r="AQ16" s="58">
        <v>133690</v>
      </c>
      <c r="AR16" s="58">
        <v>118352</v>
      </c>
      <c r="AS16" s="58">
        <v>109644</v>
      </c>
      <c r="AT16" s="58">
        <v>102989</v>
      </c>
      <c r="AU16" s="58">
        <v>97642</v>
      </c>
      <c r="AV16" s="58">
        <v>89571</v>
      </c>
      <c r="AW16" s="58">
        <v>80393</v>
      </c>
      <c r="AX16" s="58">
        <v>69264</v>
      </c>
      <c r="AY16" s="58">
        <v>59295</v>
      </c>
      <c r="AZ16" s="58">
        <v>48671</v>
      </c>
      <c r="BA16" s="58">
        <v>36646</v>
      </c>
      <c r="BB16" s="58">
        <v>27472</v>
      </c>
      <c r="BC16" s="58">
        <v>17897</v>
      </c>
      <c r="BD16" s="58">
        <v>16542</v>
      </c>
      <c r="BE16" s="58">
        <v>7196</v>
      </c>
      <c r="BF16" s="58">
        <f t="shared" si="5"/>
        <v>335458</v>
      </c>
      <c r="BG16" s="58">
        <f t="shared" si="6"/>
        <v>351010</v>
      </c>
      <c r="BH16" s="58">
        <f t="shared" si="7"/>
        <v>348493</v>
      </c>
      <c r="BI16" s="58">
        <f t="shared" si="8"/>
        <v>326540</v>
      </c>
      <c r="BJ16" s="58">
        <f t="shared" si="9"/>
        <v>281967</v>
      </c>
      <c r="BK16" s="58">
        <f t="shared" si="10"/>
        <v>256191</v>
      </c>
      <c r="BL16" s="58">
        <f t="shared" si="11"/>
        <v>237976</v>
      </c>
      <c r="BM16" s="58">
        <f t="shared" si="12"/>
        <v>222157</v>
      </c>
      <c r="BN16" s="58">
        <f t="shared" si="13"/>
        <v>209120</v>
      </c>
      <c r="BO16" s="58">
        <f t="shared" si="14"/>
        <v>190778</v>
      </c>
      <c r="BP16" s="58">
        <f t="shared" si="15"/>
        <v>174072</v>
      </c>
      <c r="BQ16" s="58">
        <f t="shared" si="16"/>
        <v>148972</v>
      </c>
      <c r="BR16" s="58">
        <f t="shared" si="17"/>
        <v>126765</v>
      </c>
      <c r="BS16" s="58">
        <f t="shared" si="18"/>
        <v>104196</v>
      </c>
      <c r="BT16" s="58">
        <f t="shared" si="19"/>
        <v>77444</v>
      </c>
      <c r="BU16" s="58">
        <f t="shared" si="20"/>
        <v>58071</v>
      </c>
      <c r="BV16" s="58">
        <f t="shared" si="21"/>
        <v>39210</v>
      </c>
      <c r="BW16" s="58">
        <f t="shared" si="22"/>
        <v>37848</v>
      </c>
      <c r="BX16" s="58">
        <f t="shared" si="23"/>
        <v>14417</v>
      </c>
      <c r="BY16" s="58">
        <v>2563061</v>
      </c>
      <c r="BZ16" s="58">
        <v>1346546</v>
      </c>
      <c r="CA16" s="58">
        <v>1216515</v>
      </c>
      <c r="CB16" s="58">
        <v>19297</v>
      </c>
      <c r="CC16" s="58">
        <v>27855</v>
      </c>
      <c r="CD16" s="58">
        <v>169897</v>
      </c>
      <c r="CE16" s="58">
        <v>171427</v>
      </c>
      <c r="CF16" s="58">
        <v>146761</v>
      </c>
      <c r="CG16" s="58">
        <v>130975</v>
      </c>
      <c r="CH16" s="58">
        <v>119578</v>
      </c>
      <c r="CI16" s="58">
        <v>113285</v>
      </c>
      <c r="CJ16" s="58">
        <v>97584</v>
      </c>
      <c r="CK16" s="58">
        <v>87937</v>
      </c>
      <c r="CL16" s="58">
        <v>72651</v>
      </c>
      <c r="CM16" s="58">
        <v>57519</v>
      </c>
      <c r="CN16" s="58">
        <v>44401</v>
      </c>
      <c r="CO16" s="58">
        <v>33474</v>
      </c>
      <c r="CP16" s="58">
        <v>26107</v>
      </c>
      <c r="CQ16" s="58">
        <v>27798</v>
      </c>
      <c r="CR16" s="58">
        <v>1346546</v>
      </c>
      <c r="CS16" s="58">
        <v>17754</v>
      </c>
      <c r="CT16" s="58">
        <v>25727</v>
      </c>
      <c r="CU16" s="58">
        <v>160803</v>
      </c>
      <c r="CV16" s="58">
        <v>163648</v>
      </c>
      <c r="CW16" s="58">
        <v>133964</v>
      </c>
      <c r="CX16" s="58">
        <v>119798</v>
      </c>
      <c r="CY16" s="58">
        <v>108679</v>
      </c>
      <c r="CZ16" s="58">
        <v>102117</v>
      </c>
      <c r="DA16" s="58">
        <v>86003</v>
      </c>
      <c r="DB16" s="58">
        <v>75350</v>
      </c>
      <c r="DC16" s="58">
        <v>63439</v>
      </c>
      <c r="DD16" s="58">
        <v>50834</v>
      </c>
      <c r="DE16" s="58">
        <v>38460</v>
      </c>
      <c r="DF16" s="58">
        <v>28529</v>
      </c>
      <c r="DG16" s="58">
        <v>20783</v>
      </c>
      <c r="DH16" s="58">
        <v>20627</v>
      </c>
      <c r="DI16" s="58">
        <v>1216515</v>
      </c>
      <c r="DJ16" s="58">
        <v>37051</v>
      </c>
      <c r="DK16" s="58">
        <v>53582</v>
      </c>
      <c r="DL16" s="58">
        <v>330700</v>
      </c>
      <c r="DM16" s="58">
        <v>335075</v>
      </c>
      <c r="DN16" s="58">
        <v>280725</v>
      </c>
      <c r="DO16" s="58">
        <v>250773</v>
      </c>
      <c r="DP16" s="58">
        <v>228257</v>
      </c>
      <c r="DQ16" s="58">
        <v>215402</v>
      </c>
      <c r="DR16" s="58">
        <v>183587</v>
      </c>
      <c r="DS16" s="58">
        <v>163287</v>
      </c>
      <c r="DT16" s="58">
        <v>136090</v>
      </c>
      <c r="DU16" s="58">
        <v>108353</v>
      </c>
      <c r="DV16" s="58">
        <v>82861</v>
      </c>
      <c r="DW16" s="58">
        <v>62003</v>
      </c>
      <c r="DX16" s="58">
        <v>46890</v>
      </c>
      <c r="DY16" s="58">
        <v>48425</v>
      </c>
      <c r="DZ16" s="139">
        <v>2563061</v>
      </c>
      <c r="EA16" s="18">
        <f t="shared" si="24"/>
        <v>14</v>
      </c>
      <c r="EB16" s="18">
        <f t="shared" si="25"/>
        <v>10</v>
      </c>
      <c r="EC16" s="63">
        <f t="shared" si="26"/>
        <v>18</v>
      </c>
      <c r="ED16" s="18" t="s">
        <v>364</v>
      </c>
    </row>
    <row r="17" spans="1:134" ht="40.799999999999997" x14ac:dyDescent="0.2">
      <c r="A17" s="18">
        <v>13</v>
      </c>
      <c r="B17" s="18" t="s">
        <v>12</v>
      </c>
      <c r="C17" s="59">
        <v>20821.400000000001</v>
      </c>
      <c r="D17" s="57">
        <f t="shared" si="1"/>
        <v>1.0619657694628355</v>
      </c>
      <c r="E17" s="18">
        <v>84</v>
      </c>
      <c r="F17" s="58">
        <v>3082841</v>
      </c>
      <c r="G17" s="64">
        <f t="shared" si="2"/>
        <v>2.4464269151503328E-2</v>
      </c>
      <c r="H17" s="58">
        <v>1601462</v>
      </c>
      <c r="I17" s="58">
        <v>1481379</v>
      </c>
      <c r="J17" s="60">
        <v>42.699153151300003</v>
      </c>
      <c r="K17" s="58">
        <f t="shared" si="3"/>
        <v>1316347.0000010685</v>
      </c>
      <c r="L17" s="58">
        <f t="shared" si="4"/>
        <v>1766493.9999989315</v>
      </c>
      <c r="M17" s="60">
        <v>148.06087037469999</v>
      </c>
      <c r="N17" s="60">
        <v>75.23</v>
      </c>
      <c r="O17" s="60">
        <v>77.95</v>
      </c>
      <c r="P17" s="60">
        <v>72.45</v>
      </c>
      <c r="Q17" s="18">
        <v>30</v>
      </c>
      <c r="R17" s="18">
        <v>30</v>
      </c>
      <c r="S17" s="18">
        <v>28</v>
      </c>
      <c r="T17" s="58">
        <v>117875</v>
      </c>
      <c r="U17" s="58">
        <v>133526</v>
      </c>
      <c r="V17" s="58">
        <v>140184</v>
      </c>
      <c r="W17" s="58">
        <v>135080</v>
      </c>
      <c r="X17" s="58">
        <v>121946</v>
      </c>
      <c r="Y17" s="58">
        <v>122786</v>
      </c>
      <c r="Z17" s="58">
        <v>121520</v>
      </c>
      <c r="AA17" s="58">
        <v>119575</v>
      </c>
      <c r="AB17" s="58">
        <v>113323</v>
      </c>
      <c r="AC17" s="58">
        <v>103374</v>
      </c>
      <c r="AD17" s="58">
        <v>91744</v>
      </c>
      <c r="AE17" s="58">
        <v>74551</v>
      </c>
      <c r="AF17" s="58">
        <v>63216</v>
      </c>
      <c r="AG17" s="58">
        <v>48894</v>
      </c>
      <c r="AH17" s="58">
        <v>34782</v>
      </c>
      <c r="AI17" s="58">
        <v>24607</v>
      </c>
      <c r="AJ17" s="58">
        <v>16463</v>
      </c>
      <c r="AK17" s="58">
        <v>16398</v>
      </c>
      <c r="AL17" s="58">
        <v>1618</v>
      </c>
      <c r="AM17" s="58">
        <v>120314</v>
      </c>
      <c r="AN17" s="58">
        <v>136027</v>
      </c>
      <c r="AO17" s="58">
        <v>143492</v>
      </c>
      <c r="AP17" s="58">
        <v>137426</v>
      </c>
      <c r="AQ17" s="58">
        <v>116241</v>
      </c>
      <c r="AR17" s="58">
        <v>108338</v>
      </c>
      <c r="AS17" s="58">
        <v>102706</v>
      </c>
      <c r="AT17" s="58">
        <v>101835</v>
      </c>
      <c r="AU17" s="58">
        <v>97725</v>
      </c>
      <c r="AV17" s="58">
        <v>91193</v>
      </c>
      <c r="AW17" s="58">
        <v>79935</v>
      </c>
      <c r="AX17" s="58">
        <v>65244</v>
      </c>
      <c r="AY17" s="58">
        <v>55713</v>
      </c>
      <c r="AZ17" s="58">
        <v>44117</v>
      </c>
      <c r="BA17" s="58">
        <v>31397</v>
      </c>
      <c r="BB17" s="58">
        <v>22656</v>
      </c>
      <c r="BC17" s="58">
        <v>13534</v>
      </c>
      <c r="BD17" s="58">
        <v>11898</v>
      </c>
      <c r="BE17" s="58">
        <v>1588</v>
      </c>
      <c r="BF17" s="58">
        <f t="shared" si="5"/>
        <v>238189</v>
      </c>
      <c r="BG17" s="58">
        <f t="shared" si="6"/>
        <v>269553</v>
      </c>
      <c r="BH17" s="58">
        <f t="shared" si="7"/>
        <v>283676</v>
      </c>
      <c r="BI17" s="58">
        <f t="shared" si="8"/>
        <v>272506</v>
      </c>
      <c r="BJ17" s="58">
        <f t="shared" si="9"/>
        <v>238187</v>
      </c>
      <c r="BK17" s="58">
        <f t="shared" si="10"/>
        <v>231124</v>
      </c>
      <c r="BL17" s="58">
        <f t="shared" si="11"/>
        <v>224226</v>
      </c>
      <c r="BM17" s="58">
        <f t="shared" si="12"/>
        <v>221410</v>
      </c>
      <c r="BN17" s="58">
        <f t="shared" si="13"/>
        <v>211048</v>
      </c>
      <c r="BO17" s="58">
        <f t="shared" si="14"/>
        <v>194567</v>
      </c>
      <c r="BP17" s="58">
        <f t="shared" si="15"/>
        <v>171679</v>
      </c>
      <c r="BQ17" s="58">
        <f t="shared" si="16"/>
        <v>139795</v>
      </c>
      <c r="BR17" s="58">
        <f t="shared" si="17"/>
        <v>118929</v>
      </c>
      <c r="BS17" s="58">
        <f t="shared" si="18"/>
        <v>93011</v>
      </c>
      <c r="BT17" s="58">
        <f t="shared" si="19"/>
        <v>66179</v>
      </c>
      <c r="BU17" s="58">
        <f t="shared" si="20"/>
        <v>47263</v>
      </c>
      <c r="BV17" s="58">
        <f t="shared" si="21"/>
        <v>29997</v>
      </c>
      <c r="BW17" s="58">
        <f t="shared" si="22"/>
        <v>28296</v>
      </c>
      <c r="BX17" s="58">
        <f t="shared" si="23"/>
        <v>3206</v>
      </c>
      <c r="BY17" s="58">
        <v>2240326</v>
      </c>
      <c r="BZ17" s="58">
        <v>1181843</v>
      </c>
      <c r="CA17" s="58">
        <v>1058483</v>
      </c>
      <c r="CB17" s="58">
        <v>15283</v>
      </c>
      <c r="CC17" s="58">
        <v>22766</v>
      </c>
      <c r="CD17" s="58">
        <v>131032</v>
      </c>
      <c r="CE17" s="58">
        <v>138070</v>
      </c>
      <c r="CF17" s="58">
        <v>128585</v>
      </c>
      <c r="CG17" s="58">
        <v>123514</v>
      </c>
      <c r="CH17" s="58">
        <v>117665</v>
      </c>
      <c r="CI17" s="58">
        <v>111138</v>
      </c>
      <c r="CJ17" s="58">
        <v>94759</v>
      </c>
      <c r="CK17" s="58">
        <v>80489</v>
      </c>
      <c r="CL17" s="58">
        <v>65653</v>
      </c>
      <c r="CM17" s="58">
        <v>50974</v>
      </c>
      <c r="CN17" s="58">
        <v>37368</v>
      </c>
      <c r="CO17" s="58">
        <v>26918</v>
      </c>
      <c r="CP17" s="58">
        <v>18751</v>
      </c>
      <c r="CQ17" s="58">
        <v>18878</v>
      </c>
      <c r="CR17" s="58">
        <v>1181843</v>
      </c>
      <c r="CS17" s="58">
        <v>15199</v>
      </c>
      <c r="CT17" s="58">
        <v>22494</v>
      </c>
      <c r="CU17" s="58">
        <v>128799</v>
      </c>
      <c r="CV17" s="58">
        <v>132869</v>
      </c>
      <c r="CW17" s="58">
        <v>114460</v>
      </c>
      <c r="CX17" s="58">
        <v>107523</v>
      </c>
      <c r="CY17" s="58">
        <v>102255</v>
      </c>
      <c r="CZ17" s="58">
        <v>97317</v>
      </c>
      <c r="DA17" s="58">
        <v>82042</v>
      </c>
      <c r="DB17" s="58">
        <v>68892</v>
      </c>
      <c r="DC17" s="58">
        <v>57089</v>
      </c>
      <c r="DD17" s="58">
        <v>45426</v>
      </c>
      <c r="DE17" s="58">
        <v>33117</v>
      </c>
      <c r="DF17" s="58">
        <v>23209</v>
      </c>
      <c r="DG17" s="58">
        <v>14912</v>
      </c>
      <c r="DH17" s="58">
        <v>12880</v>
      </c>
      <c r="DI17" s="58">
        <v>1058483</v>
      </c>
      <c r="DJ17" s="58">
        <v>30482</v>
      </c>
      <c r="DK17" s="58">
        <v>45260</v>
      </c>
      <c r="DL17" s="58">
        <v>259831</v>
      </c>
      <c r="DM17" s="58">
        <v>270939</v>
      </c>
      <c r="DN17" s="58">
        <v>243045</v>
      </c>
      <c r="DO17" s="58">
        <v>231037</v>
      </c>
      <c r="DP17" s="58">
        <v>219920</v>
      </c>
      <c r="DQ17" s="58">
        <v>208455</v>
      </c>
      <c r="DR17" s="58">
        <v>176801</v>
      </c>
      <c r="DS17" s="58">
        <v>149381</v>
      </c>
      <c r="DT17" s="58">
        <v>122742</v>
      </c>
      <c r="DU17" s="58">
        <v>96400</v>
      </c>
      <c r="DV17" s="58">
        <v>70485</v>
      </c>
      <c r="DW17" s="58">
        <v>50127</v>
      </c>
      <c r="DX17" s="58">
        <v>33663</v>
      </c>
      <c r="DY17" s="58">
        <v>31758</v>
      </c>
      <c r="DZ17" s="139">
        <v>2240326</v>
      </c>
      <c r="EA17" s="18">
        <f t="shared" si="24"/>
        <v>26</v>
      </c>
      <c r="EB17" s="18">
        <f t="shared" si="25"/>
        <v>9</v>
      </c>
      <c r="EC17" s="63">
        <f t="shared" si="26"/>
        <v>9</v>
      </c>
      <c r="ED17" s="18" t="s">
        <v>365</v>
      </c>
    </row>
    <row r="18" spans="1:134" ht="40.799999999999997" x14ac:dyDescent="0.2">
      <c r="A18" s="18">
        <v>14</v>
      </c>
      <c r="B18" s="18" t="s">
        <v>13</v>
      </c>
      <c r="C18" s="59">
        <v>78595.899999999994</v>
      </c>
      <c r="D18" s="57">
        <f t="shared" si="1"/>
        <v>4.0086716272740572</v>
      </c>
      <c r="E18" s="18">
        <v>125</v>
      </c>
      <c r="F18" s="58">
        <v>8348151</v>
      </c>
      <c r="G18" s="64">
        <f t="shared" si="2"/>
        <v>6.6247793182130268E-2</v>
      </c>
      <c r="H18" s="58">
        <v>4249696</v>
      </c>
      <c r="I18" s="58">
        <v>4098455</v>
      </c>
      <c r="J18" s="60">
        <v>12.054429777299999</v>
      </c>
      <c r="K18" s="58">
        <f t="shared" si="3"/>
        <v>1006321.9999979676</v>
      </c>
      <c r="L18" s="58">
        <f t="shared" si="4"/>
        <v>7341829.0000020321</v>
      </c>
      <c r="M18" s="60">
        <v>106.2161187943</v>
      </c>
      <c r="N18" s="60">
        <v>75.62</v>
      </c>
      <c r="O18" s="60">
        <v>78.73</v>
      </c>
      <c r="P18" s="60">
        <v>72.59</v>
      </c>
      <c r="Q18" s="18">
        <v>29</v>
      </c>
      <c r="R18" s="18">
        <v>30</v>
      </c>
      <c r="S18" s="18">
        <v>28</v>
      </c>
      <c r="T18" s="58">
        <v>331861</v>
      </c>
      <c r="U18" s="58">
        <v>354189</v>
      </c>
      <c r="V18" s="58">
        <v>350886</v>
      </c>
      <c r="W18" s="58">
        <v>353463</v>
      </c>
      <c r="X18" s="58">
        <v>352377</v>
      </c>
      <c r="Y18" s="58">
        <v>337264</v>
      </c>
      <c r="Z18" s="58">
        <v>326089</v>
      </c>
      <c r="AA18" s="58">
        <v>307567</v>
      </c>
      <c r="AB18" s="58">
        <v>283549</v>
      </c>
      <c r="AC18" s="58">
        <v>263271</v>
      </c>
      <c r="AD18" s="58">
        <v>234622</v>
      </c>
      <c r="AE18" s="58">
        <v>189545</v>
      </c>
      <c r="AF18" s="58">
        <v>168020</v>
      </c>
      <c r="AG18" s="58">
        <v>128970</v>
      </c>
      <c r="AH18" s="58">
        <v>96956</v>
      </c>
      <c r="AI18" s="58">
        <v>63993</v>
      </c>
      <c r="AJ18" s="58">
        <v>42525</v>
      </c>
      <c r="AK18" s="58">
        <v>39001</v>
      </c>
      <c r="AL18" s="58">
        <v>25548</v>
      </c>
      <c r="AM18" s="58">
        <v>339122</v>
      </c>
      <c r="AN18" s="58">
        <v>363911</v>
      </c>
      <c r="AO18" s="58">
        <v>364020</v>
      </c>
      <c r="AP18" s="58">
        <v>362796</v>
      </c>
      <c r="AQ18" s="58">
        <v>351982</v>
      </c>
      <c r="AR18" s="58">
        <v>331070</v>
      </c>
      <c r="AS18" s="58">
        <v>312917</v>
      </c>
      <c r="AT18" s="58">
        <v>295336</v>
      </c>
      <c r="AU18" s="58">
        <v>266310</v>
      </c>
      <c r="AV18" s="58">
        <v>248266</v>
      </c>
      <c r="AW18" s="58">
        <v>210067</v>
      </c>
      <c r="AX18" s="58">
        <v>167535</v>
      </c>
      <c r="AY18" s="58">
        <v>144991</v>
      </c>
      <c r="AZ18" s="58">
        <v>111583</v>
      </c>
      <c r="BA18" s="58">
        <v>84464</v>
      </c>
      <c r="BB18" s="58">
        <v>56892</v>
      </c>
      <c r="BC18" s="58">
        <v>33970</v>
      </c>
      <c r="BD18" s="58">
        <v>27720</v>
      </c>
      <c r="BE18" s="58">
        <v>25503</v>
      </c>
      <c r="BF18" s="58">
        <f t="shared" si="5"/>
        <v>670983</v>
      </c>
      <c r="BG18" s="58">
        <f t="shared" si="6"/>
        <v>718100</v>
      </c>
      <c r="BH18" s="58">
        <f t="shared" si="7"/>
        <v>714906</v>
      </c>
      <c r="BI18" s="58">
        <f t="shared" si="8"/>
        <v>716259</v>
      </c>
      <c r="BJ18" s="58">
        <f t="shared" si="9"/>
        <v>704359</v>
      </c>
      <c r="BK18" s="58">
        <f t="shared" si="10"/>
        <v>668334</v>
      </c>
      <c r="BL18" s="58">
        <f t="shared" si="11"/>
        <v>639006</v>
      </c>
      <c r="BM18" s="58">
        <f t="shared" si="12"/>
        <v>602903</v>
      </c>
      <c r="BN18" s="58">
        <f t="shared" si="13"/>
        <v>549859</v>
      </c>
      <c r="BO18" s="58">
        <f t="shared" si="14"/>
        <v>511537</v>
      </c>
      <c r="BP18" s="58">
        <f t="shared" si="15"/>
        <v>444689</v>
      </c>
      <c r="BQ18" s="58">
        <f t="shared" si="16"/>
        <v>357080</v>
      </c>
      <c r="BR18" s="58">
        <f t="shared" si="17"/>
        <v>313011</v>
      </c>
      <c r="BS18" s="58">
        <f t="shared" si="18"/>
        <v>240553</v>
      </c>
      <c r="BT18" s="58">
        <f t="shared" si="19"/>
        <v>181420</v>
      </c>
      <c r="BU18" s="58">
        <f t="shared" si="20"/>
        <v>120885</v>
      </c>
      <c r="BV18" s="58">
        <f t="shared" si="21"/>
        <v>76495</v>
      </c>
      <c r="BW18" s="58">
        <f t="shared" si="22"/>
        <v>66721</v>
      </c>
      <c r="BX18" s="58">
        <f t="shared" si="23"/>
        <v>51051</v>
      </c>
      <c r="BY18" s="58">
        <v>6214764</v>
      </c>
      <c r="BZ18" s="58">
        <v>3191525</v>
      </c>
      <c r="CA18" s="58">
        <v>3023239</v>
      </c>
      <c r="CB18" s="58">
        <v>41736</v>
      </c>
      <c r="CC18" s="58">
        <v>62833</v>
      </c>
      <c r="CD18" s="58">
        <v>368824</v>
      </c>
      <c r="CE18" s="58">
        <v>370658</v>
      </c>
      <c r="CF18" s="58">
        <v>344945</v>
      </c>
      <c r="CG18" s="58">
        <v>324912</v>
      </c>
      <c r="CH18" s="58">
        <v>300602</v>
      </c>
      <c r="CI18" s="58">
        <v>291180</v>
      </c>
      <c r="CJ18" s="58">
        <v>254617</v>
      </c>
      <c r="CK18" s="58">
        <v>218329</v>
      </c>
      <c r="CL18" s="58">
        <v>182568</v>
      </c>
      <c r="CM18" s="58">
        <v>145908</v>
      </c>
      <c r="CN18" s="58">
        <v>111027</v>
      </c>
      <c r="CO18" s="58">
        <v>77660</v>
      </c>
      <c r="CP18" s="58">
        <v>48900</v>
      </c>
      <c r="CQ18" s="58">
        <v>46826</v>
      </c>
      <c r="CR18" s="58">
        <v>3191525</v>
      </c>
      <c r="CS18" s="58">
        <v>40461</v>
      </c>
      <c r="CT18" s="58">
        <v>61575</v>
      </c>
      <c r="CU18" s="58">
        <v>370112</v>
      </c>
      <c r="CV18" s="58">
        <v>377692</v>
      </c>
      <c r="CW18" s="58">
        <v>344288</v>
      </c>
      <c r="CX18" s="58">
        <v>318029</v>
      </c>
      <c r="CY18" s="58">
        <v>287523</v>
      </c>
      <c r="CZ18" s="58">
        <v>276733</v>
      </c>
      <c r="DA18" s="58">
        <v>233447</v>
      </c>
      <c r="DB18" s="58">
        <v>193533</v>
      </c>
      <c r="DC18" s="58">
        <v>159026</v>
      </c>
      <c r="DD18" s="58">
        <v>126532</v>
      </c>
      <c r="DE18" s="58">
        <v>96420</v>
      </c>
      <c r="DF18" s="58">
        <v>65574</v>
      </c>
      <c r="DG18" s="58">
        <v>39409</v>
      </c>
      <c r="DH18" s="58">
        <v>32885</v>
      </c>
      <c r="DI18" s="58">
        <v>3023239</v>
      </c>
      <c r="DJ18" s="58">
        <v>82197</v>
      </c>
      <c r="DK18" s="58">
        <v>124408</v>
      </c>
      <c r="DL18" s="58">
        <v>738936</v>
      </c>
      <c r="DM18" s="58">
        <v>748350</v>
      </c>
      <c r="DN18" s="58">
        <v>689233</v>
      </c>
      <c r="DO18" s="58">
        <v>642941</v>
      </c>
      <c r="DP18" s="58">
        <v>588125</v>
      </c>
      <c r="DQ18" s="58">
        <v>567913</v>
      </c>
      <c r="DR18" s="58">
        <v>488064</v>
      </c>
      <c r="DS18" s="58">
        <v>411862</v>
      </c>
      <c r="DT18" s="58">
        <v>341594</v>
      </c>
      <c r="DU18" s="58">
        <v>272440</v>
      </c>
      <c r="DV18" s="58">
        <v>207447</v>
      </c>
      <c r="DW18" s="58">
        <v>143234</v>
      </c>
      <c r="DX18" s="58">
        <v>88309</v>
      </c>
      <c r="DY18" s="58">
        <v>79711</v>
      </c>
      <c r="DZ18" s="139">
        <v>6214764</v>
      </c>
      <c r="EA18" s="18">
        <f t="shared" si="24"/>
        <v>7</v>
      </c>
      <c r="EB18" s="18">
        <f t="shared" si="25"/>
        <v>4</v>
      </c>
      <c r="EC18" s="63">
        <f t="shared" si="26"/>
        <v>12</v>
      </c>
      <c r="ED18" s="18" t="s">
        <v>366</v>
      </c>
    </row>
    <row r="19" spans="1:134" ht="40.799999999999997" x14ac:dyDescent="0.2">
      <c r="A19" s="18">
        <v>15</v>
      </c>
      <c r="B19" s="18" t="s">
        <v>14</v>
      </c>
      <c r="C19" s="59">
        <v>22351.8</v>
      </c>
      <c r="D19" s="57">
        <f t="shared" si="1"/>
        <v>1.1400216357151489</v>
      </c>
      <c r="E19" s="18">
        <v>125</v>
      </c>
      <c r="F19" s="58">
        <v>16992418</v>
      </c>
      <c r="G19" s="64">
        <f t="shared" si="2"/>
        <v>0.13484545180463406</v>
      </c>
      <c r="H19" s="58">
        <v>8741123</v>
      </c>
      <c r="I19" s="58">
        <v>8251295</v>
      </c>
      <c r="J19" s="60">
        <v>12.584571542400001</v>
      </c>
      <c r="K19" s="58">
        <f t="shared" si="3"/>
        <v>2138422.9999936554</v>
      </c>
      <c r="L19" s="58">
        <f t="shared" si="4"/>
        <v>14853995.000006344</v>
      </c>
      <c r="M19" s="60">
        <v>760.22753032979995</v>
      </c>
      <c r="N19" s="60">
        <v>75.599999999999994</v>
      </c>
      <c r="O19" s="60">
        <v>77.94</v>
      </c>
      <c r="P19" s="60">
        <v>73.22</v>
      </c>
      <c r="Q19" s="18">
        <v>30</v>
      </c>
      <c r="R19" s="18">
        <v>31</v>
      </c>
      <c r="S19" s="18">
        <v>29</v>
      </c>
      <c r="T19" s="58">
        <v>631609</v>
      </c>
      <c r="U19" s="58">
        <v>681559</v>
      </c>
      <c r="V19" s="58">
        <v>724173</v>
      </c>
      <c r="W19" s="58">
        <v>729134</v>
      </c>
      <c r="X19" s="58">
        <v>709701</v>
      </c>
      <c r="Y19" s="58">
        <v>699594</v>
      </c>
      <c r="Z19" s="58">
        <v>668246</v>
      </c>
      <c r="AA19" s="58">
        <v>657610</v>
      </c>
      <c r="AB19" s="58">
        <v>633375</v>
      </c>
      <c r="AC19" s="58">
        <v>603324</v>
      </c>
      <c r="AD19" s="58">
        <v>533715</v>
      </c>
      <c r="AE19" s="58">
        <v>421734</v>
      </c>
      <c r="AF19" s="58">
        <v>354099</v>
      </c>
      <c r="AG19" s="58">
        <v>254157</v>
      </c>
      <c r="AH19" s="58">
        <v>178657</v>
      </c>
      <c r="AI19" s="58">
        <v>115335</v>
      </c>
      <c r="AJ19" s="58">
        <v>74229</v>
      </c>
      <c r="AK19" s="58">
        <v>66672</v>
      </c>
      <c r="AL19" s="58">
        <v>4200</v>
      </c>
      <c r="AM19" s="58">
        <v>644777</v>
      </c>
      <c r="AN19" s="58">
        <v>699573</v>
      </c>
      <c r="AO19" s="58">
        <v>740376</v>
      </c>
      <c r="AP19" s="58">
        <v>747531</v>
      </c>
      <c r="AQ19" s="58">
        <v>705458</v>
      </c>
      <c r="AR19" s="58">
        <v>667933</v>
      </c>
      <c r="AS19" s="58">
        <v>615018</v>
      </c>
      <c r="AT19" s="58">
        <v>596686</v>
      </c>
      <c r="AU19" s="58">
        <v>563714</v>
      </c>
      <c r="AV19" s="58">
        <v>542558</v>
      </c>
      <c r="AW19" s="58">
        <v>473362</v>
      </c>
      <c r="AX19" s="58">
        <v>373977</v>
      </c>
      <c r="AY19" s="58">
        <v>307001</v>
      </c>
      <c r="AZ19" s="58">
        <v>221241</v>
      </c>
      <c r="BA19" s="58">
        <v>152248</v>
      </c>
      <c r="BB19" s="58">
        <v>97227</v>
      </c>
      <c r="BC19" s="58">
        <v>56251</v>
      </c>
      <c r="BD19" s="58">
        <v>42337</v>
      </c>
      <c r="BE19" s="58">
        <v>4027</v>
      </c>
      <c r="BF19" s="58">
        <f t="shared" si="5"/>
        <v>1276386</v>
      </c>
      <c r="BG19" s="58">
        <f t="shared" si="6"/>
        <v>1381132</v>
      </c>
      <c r="BH19" s="58">
        <f t="shared" si="7"/>
        <v>1464549</v>
      </c>
      <c r="BI19" s="58">
        <f t="shared" si="8"/>
        <v>1476665</v>
      </c>
      <c r="BJ19" s="58">
        <f t="shared" si="9"/>
        <v>1415159</v>
      </c>
      <c r="BK19" s="58">
        <f t="shared" si="10"/>
        <v>1367527</v>
      </c>
      <c r="BL19" s="58">
        <f t="shared" si="11"/>
        <v>1283264</v>
      </c>
      <c r="BM19" s="58">
        <f t="shared" si="12"/>
        <v>1254296</v>
      </c>
      <c r="BN19" s="58">
        <f t="shared" si="13"/>
        <v>1197089</v>
      </c>
      <c r="BO19" s="58">
        <f t="shared" si="14"/>
        <v>1145882</v>
      </c>
      <c r="BP19" s="58">
        <f t="shared" si="15"/>
        <v>1007077</v>
      </c>
      <c r="BQ19" s="58">
        <f t="shared" si="16"/>
        <v>795711</v>
      </c>
      <c r="BR19" s="58">
        <f t="shared" si="17"/>
        <v>661100</v>
      </c>
      <c r="BS19" s="58">
        <f t="shared" si="18"/>
        <v>475398</v>
      </c>
      <c r="BT19" s="58">
        <f t="shared" si="19"/>
        <v>330905</v>
      </c>
      <c r="BU19" s="58">
        <f t="shared" si="20"/>
        <v>212562</v>
      </c>
      <c r="BV19" s="58">
        <f t="shared" si="21"/>
        <v>130480</v>
      </c>
      <c r="BW19" s="58">
        <f t="shared" si="22"/>
        <v>109009</v>
      </c>
      <c r="BX19" s="58">
        <f t="shared" si="23"/>
        <v>8227</v>
      </c>
      <c r="BY19" s="58">
        <v>12376600</v>
      </c>
      <c r="BZ19" s="58">
        <v>6468981</v>
      </c>
      <c r="CA19" s="58">
        <v>5907619</v>
      </c>
      <c r="CB19" s="58">
        <v>83917</v>
      </c>
      <c r="CC19" s="58">
        <v>129345</v>
      </c>
      <c r="CD19" s="58">
        <v>743354</v>
      </c>
      <c r="CE19" s="58">
        <v>763919</v>
      </c>
      <c r="CF19" s="58">
        <v>711596</v>
      </c>
      <c r="CG19" s="58">
        <v>673676</v>
      </c>
      <c r="CH19" s="58">
        <v>644751</v>
      </c>
      <c r="CI19" s="58">
        <v>638258</v>
      </c>
      <c r="CJ19" s="58">
        <v>540763</v>
      </c>
      <c r="CK19" s="58">
        <v>452222</v>
      </c>
      <c r="CL19" s="58">
        <v>359249</v>
      </c>
      <c r="CM19" s="58">
        <v>264458</v>
      </c>
      <c r="CN19" s="58">
        <v>187086</v>
      </c>
      <c r="CO19" s="58">
        <v>125158</v>
      </c>
      <c r="CP19" s="58">
        <v>79351</v>
      </c>
      <c r="CQ19" s="58">
        <v>71878</v>
      </c>
      <c r="CR19" s="58">
        <v>6468981</v>
      </c>
      <c r="CS19" s="58">
        <v>88412</v>
      </c>
      <c r="CT19" s="58">
        <v>132608</v>
      </c>
      <c r="CU19" s="58">
        <v>750258</v>
      </c>
      <c r="CV19" s="58">
        <v>762209</v>
      </c>
      <c r="CW19" s="58">
        <v>681539</v>
      </c>
      <c r="CX19" s="58">
        <v>618403</v>
      </c>
      <c r="CY19" s="58">
        <v>575984</v>
      </c>
      <c r="CZ19" s="58">
        <v>563034</v>
      </c>
      <c r="DA19" s="58">
        <v>471905</v>
      </c>
      <c r="DB19" s="58">
        <v>387360</v>
      </c>
      <c r="DC19" s="58">
        <v>304004</v>
      </c>
      <c r="DD19" s="58">
        <v>221569</v>
      </c>
      <c r="DE19" s="58">
        <v>153485</v>
      </c>
      <c r="DF19" s="58">
        <v>97658</v>
      </c>
      <c r="DG19" s="58">
        <v>56750</v>
      </c>
      <c r="DH19" s="58">
        <v>42441</v>
      </c>
      <c r="DI19" s="58">
        <v>5907619</v>
      </c>
      <c r="DJ19" s="58">
        <v>172329</v>
      </c>
      <c r="DK19" s="58">
        <v>261953</v>
      </c>
      <c r="DL19" s="58">
        <v>1493612</v>
      </c>
      <c r="DM19" s="58">
        <v>1526128</v>
      </c>
      <c r="DN19" s="58">
        <v>1393135</v>
      </c>
      <c r="DO19" s="58">
        <v>1292079</v>
      </c>
      <c r="DP19" s="58">
        <v>1220735</v>
      </c>
      <c r="DQ19" s="58">
        <v>1201292</v>
      </c>
      <c r="DR19" s="58">
        <v>1012668</v>
      </c>
      <c r="DS19" s="58">
        <v>839582</v>
      </c>
      <c r="DT19" s="58">
        <v>663253</v>
      </c>
      <c r="DU19" s="58">
        <v>486027</v>
      </c>
      <c r="DV19" s="58">
        <v>340571</v>
      </c>
      <c r="DW19" s="58">
        <v>222816</v>
      </c>
      <c r="DX19" s="58">
        <v>136101</v>
      </c>
      <c r="DY19" s="58">
        <v>114319</v>
      </c>
      <c r="DZ19" s="139">
        <v>12376600</v>
      </c>
      <c r="EA19" s="18">
        <f t="shared" si="24"/>
        <v>25</v>
      </c>
      <c r="EB19" s="18">
        <f t="shared" si="25"/>
        <v>4</v>
      </c>
      <c r="EC19" s="63">
        <f t="shared" si="26"/>
        <v>2</v>
      </c>
      <c r="ED19" s="18" t="s">
        <v>367</v>
      </c>
    </row>
    <row r="20" spans="1:134" ht="40.799999999999997" x14ac:dyDescent="0.2">
      <c r="A20" s="18">
        <v>16</v>
      </c>
      <c r="B20" s="18" t="s">
        <v>15</v>
      </c>
      <c r="C20" s="59">
        <v>58598.7</v>
      </c>
      <c r="D20" s="57">
        <f t="shared" si="1"/>
        <v>2.988743001672407</v>
      </c>
      <c r="E20" s="18">
        <v>113</v>
      </c>
      <c r="F20" s="58">
        <v>4748846</v>
      </c>
      <c r="G20" s="64">
        <f t="shared" si="2"/>
        <v>3.7685059561307237E-2</v>
      </c>
      <c r="H20" s="58">
        <v>2442505</v>
      </c>
      <c r="I20" s="58">
        <v>2306341</v>
      </c>
      <c r="J20" s="60">
        <v>28.898662959399999</v>
      </c>
      <c r="K20" s="58">
        <f t="shared" si="3"/>
        <v>1372353.0000009486</v>
      </c>
      <c r="L20" s="58">
        <f t="shared" si="4"/>
        <v>3376492.9999990514</v>
      </c>
      <c r="M20" s="60">
        <v>81.040140891199997</v>
      </c>
      <c r="N20" s="60">
        <v>75</v>
      </c>
      <c r="O20" s="60">
        <v>77.31</v>
      </c>
      <c r="P20" s="60">
        <v>72.64</v>
      </c>
      <c r="Q20" s="18">
        <v>28</v>
      </c>
      <c r="R20" s="18">
        <v>29</v>
      </c>
      <c r="S20" s="18">
        <v>27</v>
      </c>
      <c r="T20" s="58">
        <v>213012</v>
      </c>
      <c r="U20" s="58">
        <v>218236</v>
      </c>
      <c r="V20" s="58">
        <v>210937</v>
      </c>
      <c r="W20" s="58">
        <v>202922</v>
      </c>
      <c r="X20" s="58">
        <v>198844</v>
      </c>
      <c r="Y20" s="58">
        <v>191297</v>
      </c>
      <c r="Z20" s="58">
        <v>182326</v>
      </c>
      <c r="AA20" s="58">
        <v>166841</v>
      </c>
      <c r="AB20" s="58">
        <v>156714</v>
      </c>
      <c r="AC20" s="58">
        <v>141164</v>
      </c>
      <c r="AD20" s="58">
        <v>130382</v>
      </c>
      <c r="AE20" s="58">
        <v>108189</v>
      </c>
      <c r="AF20" s="58">
        <v>95606</v>
      </c>
      <c r="AG20" s="58">
        <v>73582</v>
      </c>
      <c r="AH20" s="58">
        <v>55817</v>
      </c>
      <c r="AI20" s="58">
        <v>39244</v>
      </c>
      <c r="AJ20" s="58">
        <v>27681</v>
      </c>
      <c r="AK20" s="58">
        <v>27927</v>
      </c>
      <c r="AL20" s="58">
        <v>1784</v>
      </c>
      <c r="AM20" s="58">
        <v>216825</v>
      </c>
      <c r="AN20" s="58">
        <v>223382</v>
      </c>
      <c r="AO20" s="58">
        <v>215932</v>
      </c>
      <c r="AP20" s="58">
        <v>204821</v>
      </c>
      <c r="AQ20" s="58">
        <v>191587</v>
      </c>
      <c r="AR20" s="58">
        <v>176271</v>
      </c>
      <c r="AS20" s="58">
        <v>162946</v>
      </c>
      <c r="AT20" s="58">
        <v>151597</v>
      </c>
      <c r="AU20" s="58">
        <v>142585</v>
      </c>
      <c r="AV20" s="58">
        <v>129380</v>
      </c>
      <c r="AW20" s="58">
        <v>113217</v>
      </c>
      <c r="AX20" s="58">
        <v>94210</v>
      </c>
      <c r="AY20" s="58">
        <v>83238</v>
      </c>
      <c r="AZ20" s="58">
        <v>66427</v>
      </c>
      <c r="BA20" s="58">
        <v>50515</v>
      </c>
      <c r="BB20" s="58">
        <v>35694</v>
      </c>
      <c r="BC20" s="58">
        <v>23473</v>
      </c>
      <c r="BD20" s="58">
        <v>22495</v>
      </c>
      <c r="BE20" s="58">
        <v>1746</v>
      </c>
      <c r="BF20" s="58">
        <f t="shared" si="5"/>
        <v>429837</v>
      </c>
      <c r="BG20" s="58">
        <f t="shared" si="6"/>
        <v>441618</v>
      </c>
      <c r="BH20" s="58">
        <f t="shared" si="7"/>
        <v>426869</v>
      </c>
      <c r="BI20" s="58">
        <f t="shared" si="8"/>
        <v>407743</v>
      </c>
      <c r="BJ20" s="58">
        <f t="shared" si="9"/>
        <v>390431</v>
      </c>
      <c r="BK20" s="58">
        <f t="shared" si="10"/>
        <v>367568</v>
      </c>
      <c r="BL20" s="58">
        <f t="shared" si="11"/>
        <v>345272</v>
      </c>
      <c r="BM20" s="58">
        <f t="shared" si="12"/>
        <v>318438</v>
      </c>
      <c r="BN20" s="58">
        <f t="shared" si="13"/>
        <v>299299</v>
      </c>
      <c r="BO20" s="58">
        <f t="shared" si="14"/>
        <v>270544</v>
      </c>
      <c r="BP20" s="58">
        <f t="shared" si="15"/>
        <v>243599</v>
      </c>
      <c r="BQ20" s="58">
        <f t="shared" si="16"/>
        <v>202399</v>
      </c>
      <c r="BR20" s="58">
        <f t="shared" si="17"/>
        <v>178844</v>
      </c>
      <c r="BS20" s="58">
        <f t="shared" si="18"/>
        <v>140009</v>
      </c>
      <c r="BT20" s="58">
        <f t="shared" si="19"/>
        <v>106332</v>
      </c>
      <c r="BU20" s="58">
        <f t="shared" si="20"/>
        <v>74938</v>
      </c>
      <c r="BV20" s="58">
        <f t="shared" si="21"/>
        <v>51154</v>
      </c>
      <c r="BW20" s="58">
        <f t="shared" si="22"/>
        <v>50422</v>
      </c>
      <c r="BX20" s="58">
        <f t="shared" si="23"/>
        <v>3530</v>
      </c>
      <c r="BY20" s="58">
        <v>3574824</v>
      </c>
      <c r="BZ20" s="58">
        <v>1857783</v>
      </c>
      <c r="CA20" s="58">
        <v>1717041</v>
      </c>
      <c r="CB20" s="58">
        <v>21470</v>
      </c>
      <c r="CC20" s="58">
        <v>33251</v>
      </c>
      <c r="CD20" s="58">
        <v>209672</v>
      </c>
      <c r="CE20" s="58">
        <v>224062</v>
      </c>
      <c r="CF20" s="58">
        <v>204503</v>
      </c>
      <c r="CG20" s="58">
        <v>182691</v>
      </c>
      <c r="CH20" s="58">
        <v>169805</v>
      </c>
      <c r="CI20" s="58">
        <v>162731</v>
      </c>
      <c r="CJ20" s="58">
        <v>142691</v>
      </c>
      <c r="CK20" s="58">
        <v>127793</v>
      </c>
      <c r="CL20" s="58">
        <v>108715</v>
      </c>
      <c r="CM20" s="58">
        <v>86060</v>
      </c>
      <c r="CN20" s="58">
        <v>66931</v>
      </c>
      <c r="CO20" s="58">
        <v>48094</v>
      </c>
      <c r="CP20" s="58">
        <v>33654</v>
      </c>
      <c r="CQ20" s="58">
        <v>35660</v>
      </c>
      <c r="CR20" s="58">
        <v>1857783</v>
      </c>
      <c r="CS20" s="58">
        <v>21291</v>
      </c>
      <c r="CT20" s="58">
        <v>32126</v>
      </c>
      <c r="CU20" s="58">
        <v>204266</v>
      </c>
      <c r="CV20" s="58">
        <v>220380</v>
      </c>
      <c r="CW20" s="58">
        <v>192692</v>
      </c>
      <c r="CX20" s="58">
        <v>169938</v>
      </c>
      <c r="CY20" s="58">
        <v>157644</v>
      </c>
      <c r="CZ20" s="58">
        <v>149881</v>
      </c>
      <c r="DA20" s="58">
        <v>126341</v>
      </c>
      <c r="DB20" s="58">
        <v>111415</v>
      </c>
      <c r="DC20" s="58">
        <v>94854</v>
      </c>
      <c r="DD20" s="58">
        <v>77899</v>
      </c>
      <c r="DE20" s="58">
        <v>60125</v>
      </c>
      <c r="DF20" s="58">
        <v>42293</v>
      </c>
      <c r="DG20" s="58">
        <v>28035</v>
      </c>
      <c r="DH20" s="58">
        <v>27861</v>
      </c>
      <c r="DI20" s="58">
        <v>1717041</v>
      </c>
      <c r="DJ20" s="58">
        <v>42761</v>
      </c>
      <c r="DK20" s="58">
        <v>65377</v>
      </c>
      <c r="DL20" s="58">
        <v>413938</v>
      </c>
      <c r="DM20" s="58">
        <v>444442</v>
      </c>
      <c r="DN20" s="58">
        <v>397195</v>
      </c>
      <c r="DO20" s="58">
        <v>352629</v>
      </c>
      <c r="DP20" s="58">
        <v>327449</v>
      </c>
      <c r="DQ20" s="58">
        <v>312612</v>
      </c>
      <c r="DR20" s="58">
        <v>269032</v>
      </c>
      <c r="DS20" s="58">
        <v>239208</v>
      </c>
      <c r="DT20" s="58">
        <v>203569</v>
      </c>
      <c r="DU20" s="58">
        <v>163959</v>
      </c>
      <c r="DV20" s="58">
        <v>127056</v>
      </c>
      <c r="DW20" s="58">
        <v>90387</v>
      </c>
      <c r="DX20" s="58">
        <v>61689</v>
      </c>
      <c r="DY20" s="58">
        <v>63521</v>
      </c>
      <c r="DZ20" s="139">
        <v>3574824</v>
      </c>
      <c r="EA20" s="18">
        <f t="shared" si="24"/>
        <v>16</v>
      </c>
      <c r="EB20" s="18">
        <f t="shared" si="25"/>
        <v>7</v>
      </c>
      <c r="EC20" s="63">
        <f t="shared" si="26"/>
        <v>15</v>
      </c>
      <c r="ED20" s="18" t="s">
        <v>368</v>
      </c>
    </row>
    <row r="21" spans="1:134" ht="40.799999999999997" x14ac:dyDescent="0.2">
      <c r="A21" s="18">
        <v>17</v>
      </c>
      <c r="B21" s="18" t="s">
        <v>16</v>
      </c>
      <c r="C21" s="59">
        <v>4878.8999999999996</v>
      </c>
      <c r="D21" s="57">
        <f t="shared" si="1"/>
        <v>0.24884132635808481</v>
      </c>
      <c r="E21" s="18">
        <v>36</v>
      </c>
      <c r="F21" s="58">
        <v>1971520</v>
      </c>
      <c r="G21" s="64">
        <f t="shared" si="2"/>
        <v>1.5645242786628256E-2</v>
      </c>
      <c r="H21" s="58">
        <v>1020673</v>
      </c>
      <c r="I21" s="58">
        <v>950847</v>
      </c>
      <c r="J21" s="60">
        <v>18.146556971300001</v>
      </c>
      <c r="K21" s="58">
        <f t="shared" si="3"/>
        <v>357763.00000057381</v>
      </c>
      <c r="L21" s="58">
        <f t="shared" si="4"/>
        <v>1613756.9999994263</v>
      </c>
      <c r="M21" s="60">
        <v>404.09146343639998</v>
      </c>
      <c r="N21" s="60">
        <v>75.39</v>
      </c>
      <c r="O21" s="60">
        <v>77.95</v>
      </c>
      <c r="P21" s="60">
        <v>72.78</v>
      </c>
      <c r="Q21" s="18">
        <v>30</v>
      </c>
      <c r="R21" s="18">
        <v>32</v>
      </c>
      <c r="S21" s="18">
        <v>29</v>
      </c>
      <c r="T21" s="58">
        <v>71759</v>
      </c>
      <c r="U21" s="58">
        <v>78298</v>
      </c>
      <c r="V21" s="58">
        <v>80786</v>
      </c>
      <c r="W21" s="58">
        <v>82026</v>
      </c>
      <c r="X21" s="58">
        <v>82580</v>
      </c>
      <c r="Y21" s="58">
        <v>79983</v>
      </c>
      <c r="Z21" s="58">
        <v>75434</v>
      </c>
      <c r="AA21" s="58">
        <v>72245</v>
      </c>
      <c r="AB21" s="58">
        <v>69823</v>
      </c>
      <c r="AC21" s="58">
        <v>66348</v>
      </c>
      <c r="AD21" s="58">
        <v>61696</v>
      </c>
      <c r="AE21" s="58">
        <v>51767</v>
      </c>
      <c r="AF21" s="58">
        <v>45352</v>
      </c>
      <c r="AG21" s="58">
        <v>34892</v>
      </c>
      <c r="AH21" s="58">
        <v>25384</v>
      </c>
      <c r="AI21" s="58">
        <v>17581</v>
      </c>
      <c r="AJ21" s="58">
        <v>12163</v>
      </c>
      <c r="AK21" s="58">
        <v>12067</v>
      </c>
      <c r="AL21" s="58">
        <v>489</v>
      </c>
      <c r="AM21" s="58">
        <v>73680</v>
      </c>
      <c r="AN21" s="58">
        <v>80637</v>
      </c>
      <c r="AO21" s="58">
        <v>83391</v>
      </c>
      <c r="AP21" s="58">
        <v>84628</v>
      </c>
      <c r="AQ21" s="58">
        <v>79566</v>
      </c>
      <c r="AR21" s="58">
        <v>74612</v>
      </c>
      <c r="AS21" s="58">
        <v>67970</v>
      </c>
      <c r="AT21" s="58">
        <v>63749</v>
      </c>
      <c r="AU21" s="58">
        <v>60716</v>
      </c>
      <c r="AV21" s="58">
        <v>58030</v>
      </c>
      <c r="AW21" s="58">
        <v>52588</v>
      </c>
      <c r="AX21" s="58">
        <v>44357</v>
      </c>
      <c r="AY21" s="58">
        <v>39123</v>
      </c>
      <c r="AZ21" s="58">
        <v>30758</v>
      </c>
      <c r="BA21" s="58">
        <v>22462</v>
      </c>
      <c r="BB21" s="58">
        <v>15608</v>
      </c>
      <c r="BC21" s="58">
        <v>9791</v>
      </c>
      <c r="BD21" s="58">
        <v>8722</v>
      </c>
      <c r="BE21" s="58">
        <v>459</v>
      </c>
      <c r="BF21" s="58">
        <f t="shared" si="5"/>
        <v>145439</v>
      </c>
      <c r="BG21" s="58">
        <f t="shared" si="6"/>
        <v>158935</v>
      </c>
      <c r="BH21" s="58">
        <f t="shared" si="7"/>
        <v>164177</v>
      </c>
      <c r="BI21" s="58">
        <f t="shared" si="8"/>
        <v>166654</v>
      </c>
      <c r="BJ21" s="58">
        <f t="shared" si="9"/>
        <v>162146</v>
      </c>
      <c r="BK21" s="58">
        <f t="shared" si="10"/>
        <v>154595</v>
      </c>
      <c r="BL21" s="58">
        <f t="shared" si="11"/>
        <v>143404</v>
      </c>
      <c r="BM21" s="58">
        <f t="shared" si="12"/>
        <v>135994</v>
      </c>
      <c r="BN21" s="58">
        <f t="shared" si="13"/>
        <v>130539</v>
      </c>
      <c r="BO21" s="58">
        <f t="shared" si="14"/>
        <v>124378</v>
      </c>
      <c r="BP21" s="58">
        <f t="shared" si="15"/>
        <v>114284</v>
      </c>
      <c r="BQ21" s="58">
        <f t="shared" si="16"/>
        <v>96124</v>
      </c>
      <c r="BR21" s="58">
        <f t="shared" si="17"/>
        <v>84475</v>
      </c>
      <c r="BS21" s="58">
        <f t="shared" si="18"/>
        <v>65650</v>
      </c>
      <c r="BT21" s="58">
        <f t="shared" si="19"/>
        <v>47846</v>
      </c>
      <c r="BU21" s="58">
        <f t="shared" si="20"/>
        <v>33189</v>
      </c>
      <c r="BV21" s="58">
        <f t="shared" si="21"/>
        <v>21954</v>
      </c>
      <c r="BW21" s="58">
        <f t="shared" si="22"/>
        <v>20789</v>
      </c>
      <c r="BX21" s="58">
        <f t="shared" si="23"/>
        <v>948</v>
      </c>
      <c r="BY21" s="58">
        <v>1496082</v>
      </c>
      <c r="BZ21" s="58">
        <v>786121</v>
      </c>
      <c r="CA21" s="58">
        <v>709961</v>
      </c>
      <c r="CB21" s="58">
        <v>9887</v>
      </c>
      <c r="CC21" s="58">
        <v>14876</v>
      </c>
      <c r="CD21" s="58">
        <v>87182</v>
      </c>
      <c r="CE21" s="58">
        <v>91507</v>
      </c>
      <c r="CF21" s="58">
        <v>82708</v>
      </c>
      <c r="CG21" s="58">
        <v>77143</v>
      </c>
      <c r="CH21" s="58">
        <v>73317</v>
      </c>
      <c r="CI21" s="58">
        <v>72977</v>
      </c>
      <c r="CJ21" s="58">
        <v>64479</v>
      </c>
      <c r="CK21" s="58">
        <v>56218</v>
      </c>
      <c r="CL21" s="58">
        <v>47798</v>
      </c>
      <c r="CM21" s="58">
        <v>36984</v>
      </c>
      <c r="CN21" s="58">
        <v>27071</v>
      </c>
      <c r="CO21" s="58">
        <v>18682</v>
      </c>
      <c r="CP21" s="58">
        <v>12907</v>
      </c>
      <c r="CQ21" s="58">
        <v>12385</v>
      </c>
      <c r="CR21" s="58">
        <v>786121</v>
      </c>
      <c r="CS21" s="58">
        <v>10194</v>
      </c>
      <c r="CT21" s="58">
        <v>14375</v>
      </c>
      <c r="CU21" s="58">
        <v>85293</v>
      </c>
      <c r="CV21" s="58">
        <v>90229</v>
      </c>
      <c r="CW21" s="58">
        <v>78595</v>
      </c>
      <c r="CX21" s="58">
        <v>70311</v>
      </c>
      <c r="CY21" s="58">
        <v>65008</v>
      </c>
      <c r="CZ21" s="58">
        <v>64151</v>
      </c>
      <c r="DA21" s="58">
        <v>54686</v>
      </c>
      <c r="DB21" s="58">
        <v>47947</v>
      </c>
      <c r="DC21" s="58">
        <v>40270</v>
      </c>
      <c r="DD21" s="58">
        <v>31795</v>
      </c>
      <c r="DE21" s="58">
        <v>23147</v>
      </c>
      <c r="DF21" s="58">
        <v>15667</v>
      </c>
      <c r="DG21" s="58">
        <v>9855</v>
      </c>
      <c r="DH21" s="58">
        <v>8438</v>
      </c>
      <c r="DI21" s="58">
        <v>709961</v>
      </c>
      <c r="DJ21" s="58">
        <v>20081</v>
      </c>
      <c r="DK21" s="58">
        <v>29251</v>
      </c>
      <c r="DL21" s="58">
        <v>172475</v>
      </c>
      <c r="DM21" s="58">
        <v>181736</v>
      </c>
      <c r="DN21" s="58">
        <v>161303</v>
      </c>
      <c r="DO21" s="58">
        <v>147454</v>
      </c>
      <c r="DP21" s="58">
        <v>138325</v>
      </c>
      <c r="DQ21" s="58">
        <v>137128</v>
      </c>
      <c r="DR21" s="58">
        <v>119165</v>
      </c>
      <c r="DS21" s="58">
        <v>104165</v>
      </c>
      <c r="DT21" s="58">
        <v>88068</v>
      </c>
      <c r="DU21" s="58">
        <v>68779</v>
      </c>
      <c r="DV21" s="58">
        <v>50218</v>
      </c>
      <c r="DW21" s="58">
        <v>34349</v>
      </c>
      <c r="DX21" s="58">
        <v>22762</v>
      </c>
      <c r="DY21" s="58">
        <v>20823</v>
      </c>
      <c r="DZ21" s="139">
        <v>1496082</v>
      </c>
      <c r="EA21" s="18">
        <f t="shared" si="24"/>
        <v>30</v>
      </c>
      <c r="EB21" s="18">
        <f t="shared" si="25"/>
        <v>21</v>
      </c>
      <c r="EC21" s="63">
        <f t="shared" si="26"/>
        <v>3</v>
      </c>
      <c r="ED21" s="18" t="s">
        <v>369</v>
      </c>
    </row>
    <row r="22" spans="1:134" ht="40.799999999999997" x14ac:dyDescent="0.2">
      <c r="A22" s="18">
        <v>18</v>
      </c>
      <c r="B22" s="18" t="s">
        <v>17</v>
      </c>
      <c r="C22" s="59">
        <v>27856.5</v>
      </c>
      <c r="D22" s="57">
        <f t="shared" si="1"/>
        <v>1.4207809972932406</v>
      </c>
      <c r="E22" s="18">
        <v>20</v>
      </c>
      <c r="F22" s="58">
        <v>1235456</v>
      </c>
      <c r="G22" s="64">
        <f t="shared" si="2"/>
        <v>9.8041151356296659E-3</v>
      </c>
      <c r="H22" s="58">
        <v>623178</v>
      </c>
      <c r="I22" s="58">
        <v>612278</v>
      </c>
      <c r="J22" s="60">
        <v>27.552741659799999</v>
      </c>
      <c r="K22" s="58">
        <f t="shared" si="3"/>
        <v>340402.00000049872</v>
      </c>
      <c r="L22" s="58">
        <f t="shared" si="4"/>
        <v>895053.99999950128</v>
      </c>
      <c r="M22" s="60">
        <v>44.350766496399999</v>
      </c>
      <c r="N22" s="60">
        <v>75.44</v>
      </c>
      <c r="O22" s="60">
        <v>78.03</v>
      </c>
      <c r="P22" s="60">
        <v>73</v>
      </c>
      <c r="Q22" s="18">
        <v>29</v>
      </c>
      <c r="R22" s="18">
        <v>30</v>
      </c>
      <c r="S22" s="18">
        <v>28</v>
      </c>
      <c r="T22" s="58">
        <v>50999</v>
      </c>
      <c r="U22" s="58">
        <v>55942</v>
      </c>
      <c r="V22" s="58">
        <v>55609</v>
      </c>
      <c r="W22" s="58">
        <v>51464</v>
      </c>
      <c r="X22" s="58">
        <v>48963</v>
      </c>
      <c r="Y22" s="58">
        <v>47305</v>
      </c>
      <c r="Z22" s="58">
        <v>46587</v>
      </c>
      <c r="AA22" s="58">
        <v>43621</v>
      </c>
      <c r="AB22" s="58">
        <v>41386</v>
      </c>
      <c r="AC22" s="58">
        <v>37840</v>
      </c>
      <c r="AD22" s="58">
        <v>33267</v>
      </c>
      <c r="AE22" s="58">
        <v>28245</v>
      </c>
      <c r="AF22" s="58">
        <v>24935</v>
      </c>
      <c r="AG22" s="58">
        <v>19313</v>
      </c>
      <c r="AH22" s="58">
        <v>14214</v>
      </c>
      <c r="AI22" s="58">
        <v>10118</v>
      </c>
      <c r="AJ22" s="58">
        <v>6694</v>
      </c>
      <c r="AK22" s="58">
        <v>6080</v>
      </c>
      <c r="AL22" s="58">
        <v>596</v>
      </c>
      <c r="AM22" s="58">
        <v>52602</v>
      </c>
      <c r="AN22" s="58">
        <v>58000</v>
      </c>
      <c r="AO22" s="58">
        <v>57726</v>
      </c>
      <c r="AP22" s="58">
        <v>52792</v>
      </c>
      <c r="AQ22" s="58">
        <v>48537</v>
      </c>
      <c r="AR22" s="58">
        <v>45237</v>
      </c>
      <c r="AS22" s="58">
        <v>43990</v>
      </c>
      <c r="AT22" s="58">
        <v>41559</v>
      </c>
      <c r="AU22" s="58">
        <v>39971</v>
      </c>
      <c r="AV22" s="58">
        <v>37298</v>
      </c>
      <c r="AW22" s="58">
        <v>31691</v>
      </c>
      <c r="AX22" s="58">
        <v>26262</v>
      </c>
      <c r="AY22" s="58">
        <v>22763</v>
      </c>
      <c r="AZ22" s="58">
        <v>18563</v>
      </c>
      <c r="BA22" s="58">
        <v>13560</v>
      </c>
      <c r="BB22" s="58">
        <v>9792</v>
      </c>
      <c r="BC22" s="58">
        <v>6345</v>
      </c>
      <c r="BD22" s="58">
        <v>5018</v>
      </c>
      <c r="BE22" s="58">
        <v>572</v>
      </c>
      <c r="BF22" s="58">
        <f t="shared" si="5"/>
        <v>103601</v>
      </c>
      <c r="BG22" s="58">
        <f t="shared" si="6"/>
        <v>113942</v>
      </c>
      <c r="BH22" s="58">
        <f t="shared" si="7"/>
        <v>113335</v>
      </c>
      <c r="BI22" s="58">
        <f t="shared" si="8"/>
        <v>104256</v>
      </c>
      <c r="BJ22" s="58">
        <f t="shared" si="9"/>
        <v>97500</v>
      </c>
      <c r="BK22" s="58">
        <f t="shared" si="10"/>
        <v>92542</v>
      </c>
      <c r="BL22" s="58">
        <f t="shared" si="11"/>
        <v>90577</v>
      </c>
      <c r="BM22" s="58">
        <f t="shared" si="12"/>
        <v>85180</v>
      </c>
      <c r="BN22" s="58">
        <f t="shared" si="13"/>
        <v>81357</v>
      </c>
      <c r="BO22" s="58">
        <f t="shared" si="14"/>
        <v>75138</v>
      </c>
      <c r="BP22" s="58">
        <f t="shared" si="15"/>
        <v>64958</v>
      </c>
      <c r="BQ22" s="58">
        <f t="shared" si="16"/>
        <v>54507</v>
      </c>
      <c r="BR22" s="58">
        <f t="shared" si="17"/>
        <v>47698</v>
      </c>
      <c r="BS22" s="58">
        <f t="shared" si="18"/>
        <v>37876</v>
      </c>
      <c r="BT22" s="58">
        <f t="shared" si="19"/>
        <v>27774</v>
      </c>
      <c r="BU22" s="58">
        <f t="shared" si="20"/>
        <v>19910</v>
      </c>
      <c r="BV22" s="58">
        <f t="shared" si="21"/>
        <v>13039</v>
      </c>
      <c r="BW22" s="58">
        <f t="shared" si="22"/>
        <v>11098</v>
      </c>
      <c r="BX22" s="58">
        <f t="shared" si="23"/>
        <v>1168</v>
      </c>
      <c r="BY22" s="58">
        <v>891505</v>
      </c>
      <c r="BZ22" s="58">
        <v>451667</v>
      </c>
      <c r="CA22" s="58">
        <v>439838</v>
      </c>
      <c r="CB22" s="58">
        <v>5921</v>
      </c>
      <c r="CC22" s="58">
        <v>8522</v>
      </c>
      <c r="CD22" s="58">
        <v>50075</v>
      </c>
      <c r="CE22" s="58">
        <v>51604</v>
      </c>
      <c r="CF22" s="58">
        <v>48390</v>
      </c>
      <c r="CG22" s="58">
        <v>44724</v>
      </c>
      <c r="CH22" s="58">
        <v>42078</v>
      </c>
      <c r="CI22" s="58">
        <v>41385</v>
      </c>
      <c r="CJ22" s="58">
        <v>35546</v>
      </c>
      <c r="CK22" s="58">
        <v>31256</v>
      </c>
      <c r="CL22" s="58">
        <v>26966</v>
      </c>
      <c r="CM22" s="58">
        <v>21635</v>
      </c>
      <c r="CN22" s="58">
        <v>16252</v>
      </c>
      <c r="CO22" s="58">
        <v>11758</v>
      </c>
      <c r="CP22" s="58">
        <v>8025</v>
      </c>
      <c r="CQ22" s="58">
        <v>7530</v>
      </c>
      <c r="CR22" s="58">
        <v>451667</v>
      </c>
      <c r="CS22" s="58">
        <v>5880</v>
      </c>
      <c r="CT22" s="58">
        <v>8357</v>
      </c>
      <c r="CU22" s="58">
        <v>50413</v>
      </c>
      <c r="CV22" s="58">
        <v>52168</v>
      </c>
      <c r="CW22" s="58">
        <v>47660</v>
      </c>
      <c r="CX22" s="58">
        <v>43573</v>
      </c>
      <c r="CY22" s="58">
        <v>41432</v>
      </c>
      <c r="CZ22" s="58">
        <v>40991</v>
      </c>
      <c r="DA22" s="58">
        <v>34864</v>
      </c>
      <c r="DB22" s="58">
        <v>29609</v>
      </c>
      <c r="DC22" s="58">
        <v>24691</v>
      </c>
      <c r="DD22" s="58">
        <v>20410</v>
      </c>
      <c r="DE22" s="58">
        <v>15393</v>
      </c>
      <c r="DF22" s="58">
        <v>11037</v>
      </c>
      <c r="DG22" s="58">
        <v>7317</v>
      </c>
      <c r="DH22" s="58">
        <v>6043</v>
      </c>
      <c r="DI22" s="58">
        <v>439838</v>
      </c>
      <c r="DJ22" s="58">
        <v>11801</v>
      </c>
      <c r="DK22" s="58">
        <v>16879</v>
      </c>
      <c r="DL22" s="58">
        <v>100488</v>
      </c>
      <c r="DM22" s="58">
        <v>103772</v>
      </c>
      <c r="DN22" s="58">
        <v>96050</v>
      </c>
      <c r="DO22" s="58">
        <v>88297</v>
      </c>
      <c r="DP22" s="58">
        <v>83510</v>
      </c>
      <c r="DQ22" s="58">
        <v>82376</v>
      </c>
      <c r="DR22" s="58">
        <v>70410</v>
      </c>
      <c r="DS22" s="58">
        <v>60865</v>
      </c>
      <c r="DT22" s="58">
        <v>51657</v>
      </c>
      <c r="DU22" s="58">
        <v>42045</v>
      </c>
      <c r="DV22" s="58">
        <v>31645</v>
      </c>
      <c r="DW22" s="58">
        <v>22795</v>
      </c>
      <c r="DX22" s="58">
        <v>15342</v>
      </c>
      <c r="DY22" s="58">
        <v>13573</v>
      </c>
      <c r="DZ22" s="139">
        <v>891505</v>
      </c>
      <c r="EA22" s="18">
        <f t="shared" si="24"/>
        <v>23</v>
      </c>
      <c r="EB22" s="18">
        <f t="shared" si="25"/>
        <v>22</v>
      </c>
      <c r="EC22" s="63">
        <f t="shared" si="26"/>
        <v>22</v>
      </c>
      <c r="ED22" s="18" t="s">
        <v>370</v>
      </c>
    </row>
    <row r="23" spans="1:134" ht="40.799999999999997" x14ac:dyDescent="0.2">
      <c r="A23" s="18">
        <v>19</v>
      </c>
      <c r="B23" s="18" t="s">
        <v>18</v>
      </c>
      <c r="C23" s="59">
        <v>64156.2</v>
      </c>
      <c r="D23" s="57">
        <f t="shared" si="1"/>
        <v>3.2721953518404892</v>
      </c>
      <c r="E23" s="18">
        <v>51</v>
      </c>
      <c r="F23" s="58">
        <v>5784442</v>
      </c>
      <c r="G23" s="64">
        <f t="shared" si="2"/>
        <v>4.5903160746616579E-2</v>
      </c>
      <c r="H23" s="58">
        <v>2893492</v>
      </c>
      <c r="I23" s="58">
        <v>2890950</v>
      </c>
      <c r="J23" s="60">
        <v>4.1161446515</v>
      </c>
      <c r="K23" s="58">
        <f t="shared" si="3"/>
        <v>238096.00000211963</v>
      </c>
      <c r="L23" s="58">
        <f t="shared" si="4"/>
        <v>5546345.9999978803</v>
      </c>
      <c r="M23" s="60">
        <v>90.161846858399997</v>
      </c>
      <c r="N23" s="60">
        <v>76.03</v>
      </c>
      <c r="O23" s="60">
        <v>79.2</v>
      </c>
      <c r="P23" s="60">
        <v>73.040000000000006</v>
      </c>
      <c r="Q23" s="18">
        <v>30</v>
      </c>
      <c r="R23" s="18">
        <v>30</v>
      </c>
      <c r="S23" s="18">
        <v>29</v>
      </c>
      <c r="T23" s="58">
        <v>225102</v>
      </c>
      <c r="U23" s="58">
        <v>228140</v>
      </c>
      <c r="V23" s="58">
        <v>227316</v>
      </c>
      <c r="W23" s="58">
        <v>231655</v>
      </c>
      <c r="X23" s="58">
        <v>248293</v>
      </c>
      <c r="Y23" s="58">
        <v>239870</v>
      </c>
      <c r="Z23" s="58">
        <v>221419</v>
      </c>
      <c r="AA23" s="58">
        <v>210620</v>
      </c>
      <c r="AB23" s="58">
        <v>204546</v>
      </c>
      <c r="AC23" s="58">
        <v>193524</v>
      </c>
      <c r="AD23" s="58">
        <v>169947</v>
      </c>
      <c r="AE23" s="58">
        <v>133074</v>
      </c>
      <c r="AF23" s="58">
        <v>113541</v>
      </c>
      <c r="AG23" s="58">
        <v>81642</v>
      </c>
      <c r="AH23" s="58">
        <v>62182</v>
      </c>
      <c r="AI23" s="58">
        <v>41804</v>
      </c>
      <c r="AJ23" s="58">
        <v>28281</v>
      </c>
      <c r="AK23" s="58">
        <v>23453</v>
      </c>
      <c r="AL23" s="58">
        <v>9083</v>
      </c>
      <c r="AM23" s="58">
        <v>229807</v>
      </c>
      <c r="AN23" s="58">
        <v>235679</v>
      </c>
      <c r="AO23" s="58">
        <v>235404</v>
      </c>
      <c r="AP23" s="58">
        <v>240241</v>
      </c>
      <c r="AQ23" s="58">
        <v>255533</v>
      </c>
      <c r="AR23" s="58">
        <v>248479</v>
      </c>
      <c r="AS23" s="58">
        <v>227051</v>
      </c>
      <c r="AT23" s="58">
        <v>215999</v>
      </c>
      <c r="AU23" s="58">
        <v>204944</v>
      </c>
      <c r="AV23" s="58">
        <v>194154</v>
      </c>
      <c r="AW23" s="58">
        <v>164492</v>
      </c>
      <c r="AX23" s="58">
        <v>126971</v>
      </c>
      <c r="AY23" s="58">
        <v>103697</v>
      </c>
      <c r="AZ23" s="58">
        <v>72766</v>
      </c>
      <c r="BA23" s="58">
        <v>53640</v>
      </c>
      <c r="BB23" s="58">
        <v>35523</v>
      </c>
      <c r="BC23" s="58">
        <v>22069</v>
      </c>
      <c r="BD23" s="58">
        <v>15452</v>
      </c>
      <c r="BE23" s="58">
        <v>9049</v>
      </c>
      <c r="BF23" s="58">
        <f t="shared" si="5"/>
        <v>454909</v>
      </c>
      <c r="BG23" s="58">
        <f t="shared" si="6"/>
        <v>463819</v>
      </c>
      <c r="BH23" s="58">
        <f t="shared" si="7"/>
        <v>462720</v>
      </c>
      <c r="BI23" s="58">
        <f t="shared" si="8"/>
        <v>471896</v>
      </c>
      <c r="BJ23" s="58">
        <f t="shared" si="9"/>
        <v>503826</v>
      </c>
      <c r="BK23" s="58">
        <f t="shared" si="10"/>
        <v>488349</v>
      </c>
      <c r="BL23" s="58">
        <f t="shared" si="11"/>
        <v>448470</v>
      </c>
      <c r="BM23" s="58">
        <f t="shared" si="12"/>
        <v>426619</v>
      </c>
      <c r="BN23" s="58">
        <f t="shared" si="13"/>
        <v>409490</v>
      </c>
      <c r="BO23" s="58">
        <f t="shared" si="14"/>
        <v>387678</v>
      </c>
      <c r="BP23" s="58">
        <f t="shared" si="15"/>
        <v>334439</v>
      </c>
      <c r="BQ23" s="58">
        <f t="shared" si="16"/>
        <v>260045</v>
      </c>
      <c r="BR23" s="58">
        <f t="shared" si="17"/>
        <v>217238</v>
      </c>
      <c r="BS23" s="58">
        <f t="shared" si="18"/>
        <v>154408</v>
      </c>
      <c r="BT23" s="58">
        <f t="shared" si="19"/>
        <v>115822</v>
      </c>
      <c r="BU23" s="58">
        <f t="shared" si="20"/>
        <v>77327</v>
      </c>
      <c r="BV23" s="58">
        <f t="shared" si="21"/>
        <v>50350</v>
      </c>
      <c r="BW23" s="58">
        <f t="shared" si="22"/>
        <v>38905</v>
      </c>
      <c r="BX23" s="58">
        <f t="shared" si="23"/>
        <v>18132</v>
      </c>
      <c r="BY23" s="58">
        <v>4189722</v>
      </c>
      <c r="BZ23" s="58">
        <v>2094756</v>
      </c>
      <c r="CA23" s="58">
        <v>2094966</v>
      </c>
      <c r="CB23" s="58">
        <v>30447</v>
      </c>
      <c r="CC23" s="58">
        <v>42998</v>
      </c>
      <c r="CD23" s="58">
        <v>241213</v>
      </c>
      <c r="CE23" s="58">
        <v>240395</v>
      </c>
      <c r="CF23" s="58">
        <v>221486</v>
      </c>
      <c r="CG23" s="58">
        <v>209144</v>
      </c>
      <c r="CH23" s="58">
        <v>203471</v>
      </c>
      <c r="CI23" s="58">
        <v>202546</v>
      </c>
      <c r="CJ23" s="58">
        <v>175940</v>
      </c>
      <c r="CK23" s="58">
        <v>145072</v>
      </c>
      <c r="CL23" s="58">
        <v>119696</v>
      </c>
      <c r="CM23" s="58">
        <v>87824</v>
      </c>
      <c r="CN23" s="58">
        <v>67320</v>
      </c>
      <c r="CO23" s="58">
        <v>47302</v>
      </c>
      <c r="CP23" s="58">
        <v>31501</v>
      </c>
      <c r="CQ23" s="58">
        <v>28401</v>
      </c>
      <c r="CR23" s="58">
        <v>2094756</v>
      </c>
      <c r="CS23" s="58">
        <v>31327</v>
      </c>
      <c r="CT23" s="58">
        <v>43803</v>
      </c>
      <c r="CU23" s="58">
        <v>251885</v>
      </c>
      <c r="CV23" s="58">
        <v>255849</v>
      </c>
      <c r="CW23" s="58">
        <v>236380</v>
      </c>
      <c r="CX23" s="58">
        <v>220405</v>
      </c>
      <c r="CY23" s="58">
        <v>210120</v>
      </c>
      <c r="CZ23" s="58">
        <v>204996</v>
      </c>
      <c r="DA23" s="58">
        <v>172466</v>
      </c>
      <c r="DB23" s="58">
        <v>138387</v>
      </c>
      <c r="DC23" s="58">
        <v>110064</v>
      </c>
      <c r="DD23" s="58">
        <v>78787</v>
      </c>
      <c r="DE23" s="58">
        <v>58304</v>
      </c>
      <c r="DF23" s="58">
        <v>39008</v>
      </c>
      <c r="DG23" s="58">
        <v>24692</v>
      </c>
      <c r="DH23" s="58">
        <v>18493</v>
      </c>
      <c r="DI23" s="58">
        <v>2094966</v>
      </c>
      <c r="DJ23" s="58">
        <v>61774</v>
      </c>
      <c r="DK23" s="58">
        <v>86801</v>
      </c>
      <c r="DL23" s="58">
        <v>493098</v>
      </c>
      <c r="DM23" s="58">
        <v>496244</v>
      </c>
      <c r="DN23" s="58">
        <v>457866</v>
      </c>
      <c r="DO23" s="58">
        <v>429549</v>
      </c>
      <c r="DP23" s="58">
        <v>413591</v>
      </c>
      <c r="DQ23" s="58">
        <v>407542</v>
      </c>
      <c r="DR23" s="58">
        <v>348406</v>
      </c>
      <c r="DS23" s="58">
        <v>283459</v>
      </c>
      <c r="DT23" s="58">
        <v>229760</v>
      </c>
      <c r="DU23" s="58">
        <v>166611</v>
      </c>
      <c r="DV23" s="58">
        <v>125624</v>
      </c>
      <c r="DW23" s="58">
        <v>86310</v>
      </c>
      <c r="DX23" s="58">
        <v>56193</v>
      </c>
      <c r="DY23" s="58">
        <v>46894</v>
      </c>
      <c r="DZ23" s="139">
        <v>4189722</v>
      </c>
      <c r="EA23" s="18">
        <f t="shared" si="24"/>
        <v>13</v>
      </c>
      <c r="EB23" s="18">
        <f t="shared" si="25"/>
        <v>16</v>
      </c>
      <c r="EC23" s="63">
        <f t="shared" si="26"/>
        <v>14</v>
      </c>
      <c r="ED23" s="18" t="s">
        <v>371</v>
      </c>
    </row>
    <row r="24" spans="1:134" ht="51" x14ac:dyDescent="0.2">
      <c r="A24" s="18">
        <v>20</v>
      </c>
      <c r="B24" s="18" t="s">
        <v>19</v>
      </c>
      <c r="C24" s="59">
        <v>93757.6</v>
      </c>
      <c r="D24" s="57">
        <f t="shared" si="1"/>
        <v>4.7819724815328817</v>
      </c>
      <c r="E24" s="18">
        <v>570</v>
      </c>
      <c r="F24" s="58">
        <v>4132148</v>
      </c>
      <c r="G24" s="64">
        <f t="shared" si="2"/>
        <v>3.2791175686921956E-2</v>
      </c>
      <c r="H24" s="58">
        <v>2157305</v>
      </c>
      <c r="I24" s="58">
        <v>1974843</v>
      </c>
      <c r="J24" s="60">
        <v>50.5445351909</v>
      </c>
      <c r="K24" s="58">
        <f t="shared" si="3"/>
        <v>2088575.0000000703</v>
      </c>
      <c r="L24" s="58">
        <f t="shared" si="4"/>
        <v>2043572.9999999297</v>
      </c>
      <c r="M24" s="60">
        <v>44.072675193400002</v>
      </c>
      <c r="N24" s="60">
        <v>74.31</v>
      </c>
      <c r="O24" s="60">
        <v>76.98</v>
      </c>
      <c r="P24" s="60">
        <v>71.53</v>
      </c>
      <c r="Q24" s="18">
        <v>28</v>
      </c>
      <c r="R24" s="18">
        <v>29</v>
      </c>
      <c r="S24" s="18">
        <v>27</v>
      </c>
      <c r="T24" s="58">
        <v>178550</v>
      </c>
      <c r="U24" s="58">
        <v>193258</v>
      </c>
      <c r="V24" s="58">
        <v>196776</v>
      </c>
      <c r="W24" s="58">
        <v>179735</v>
      </c>
      <c r="X24" s="58">
        <v>163170</v>
      </c>
      <c r="Y24" s="58">
        <v>165743</v>
      </c>
      <c r="Z24" s="58">
        <v>156355</v>
      </c>
      <c r="AA24" s="58">
        <v>148599</v>
      </c>
      <c r="AB24" s="58">
        <v>139094</v>
      </c>
      <c r="AC24" s="58">
        <v>125233</v>
      </c>
      <c r="AD24" s="58">
        <v>113576</v>
      </c>
      <c r="AE24" s="58">
        <v>96401</v>
      </c>
      <c r="AF24" s="58">
        <v>83645</v>
      </c>
      <c r="AG24" s="58">
        <v>68322</v>
      </c>
      <c r="AH24" s="58">
        <v>49964</v>
      </c>
      <c r="AI24" s="58">
        <v>38820</v>
      </c>
      <c r="AJ24" s="58">
        <v>27544</v>
      </c>
      <c r="AK24" s="58">
        <v>27800</v>
      </c>
      <c r="AL24" s="58">
        <v>4720</v>
      </c>
      <c r="AM24" s="58">
        <v>181303</v>
      </c>
      <c r="AN24" s="58">
        <v>195501</v>
      </c>
      <c r="AO24" s="58">
        <v>201586</v>
      </c>
      <c r="AP24" s="58">
        <v>178973</v>
      </c>
      <c r="AQ24" s="58">
        <v>147137</v>
      </c>
      <c r="AR24" s="58">
        <v>141381</v>
      </c>
      <c r="AS24" s="58">
        <v>132924</v>
      </c>
      <c r="AT24" s="58">
        <v>127897</v>
      </c>
      <c r="AU24" s="58">
        <v>120384</v>
      </c>
      <c r="AV24" s="58">
        <v>108738</v>
      </c>
      <c r="AW24" s="58">
        <v>96862</v>
      </c>
      <c r="AX24" s="58">
        <v>83007</v>
      </c>
      <c r="AY24" s="58">
        <v>72135</v>
      </c>
      <c r="AZ24" s="58">
        <v>58872</v>
      </c>
      <c r="BA24" s="58">
        <v>43728</v>
      </c>
      <c r="BB24" s="58">
        <v>34298</v>
      </c>
      <c r="BC24" s="58">
        <v>23170</v>
      </c>
      <c r="BD24" s="58">
        <v>22279</v>
      </c>
      <c r="BE24" s="58">
        <v>4668</v>
      </c>
      <c r="BF24" s="58">
        <f t="shared" si="5"/>
        <v>359853</v>
      </c>
      <c r="BG24" s="58">
        <f t="shared" si="6"/>
        <v>388759</v>
      </c>
      <c r="BH24" s="58">
        <f t="shared" si="7"/>
        <v>398362</v>
      </c>
      <c r="BI24" s="58">
        <f t="shared" si="8"/>
        <v>358708</v>
      </c>
      <c r="BJ24" s="58">
        <f t="shared" si="9"/>
        <v>310307</v>
      </c>
      <c r="BK24" s="58">
        <f t="shared" si="10"/>
        <v>307124</v>
      </c>
      <c r="BL24" s="58">
        <f t="shared" si="11"/>
        <v>289279</v>
      </c>
      <c r="BM24" s="58">
        <f t="shared" si="12"/>
        <v>276496</v>
      </c>
      <c r="BN24" s="58">
        <f t="shared" si="13"/>
        <v>259478</v>
      </c>
      <c r="BO24" s="58">
        <f t="shared" si="14"/>
        <v>233971</v>
      </c>
      <c r="BP24" s="58">
        <f t="shared" si="15"/>
        <v>210438</v>
      </c>
      <c r="BQ24" s="58">
        <f t="shared" si="16"/>
        <v>179408</v>
      </c>
      <c r="BR24" s="58">
        <f t="shared" si="17"/>
        <v>155780</v>
      </c>
      <c r="BS24" s="58">
        <f t="shared" si="18"/>
        <v>127194</v>
      </c>
      <c r="BT24" s="58">
        <f t="shared" si="19"/>
        <v>93692</v>
      </c>
      <c r="BU24" s="58">
        <f t="shared" si="20"/>
        <v>73118</v>
      </c>
      <c r="BV24" s="58">
        <f t="shared" si="21"/>
        <v>50714</v>
      </c>
      <c r="BW24" s="58">
        <f t="shared" si="22"/>
        <v>50079</v>
      </c>
      <c r="BX24" s="58">
        <f t="shared" si="23"/>
        <v>9388</v>
      </c>
      <c r="BY24" s="58">
        <v>3013303</v>
      </c>
      <c r="BZ24" s="58">
        <v>1601912</v>
      </c>
      <c r="CA24" s="58">
        <v>1411391</v>
      </c>
      <c r="CB24" s="58">
        <v>19267</v>
      </c>
      <c r="CC24" s="58">
        <v>29344</v>
      </c>
      <c r="CD24" s="58">
        <v>180504</v>
      </c>
      <c r="CE24" s="58">
        <v>197169</v>
      </c>
      <c r="CF24" s="58">
        <v>174717</v>
      </c>
      <c r="CG24" s="58">
        <v>161500</v>
      </c>
      <c r="CH24" s="58">
        <v>150927</v>
      </c>
      <c r="CI24" s="58">
        <v>137975</v>
      </c>
      <c r="CJ24" s="58">
        <v>119430</v>
      </c>
      <c r="CK24" s="58">
        <v>105899</v>
      </c>
      <c r="CL24" s="58">
        <v>89606</v>
      </c>
      <c r="CM24" s="58">
        <v>72094</v>
      </c>
      <c r="CN24" s="58">
        <v>55704</v>
      </c>
      <c r="CO24" s="58">
        <v>42704</v>
      </c>
      <c r="CP24" s="58">
        <v>31850</v>
      </c>
      <c r="CQ24" s="58">
        <v>33222</v>
      </c>
      <c r="CR24" s="58">
        <v>1601912</v>
      </c>
      <c r="CS24" s="58">
        <v>18039</v>
      </c>
      <c r="CT24" s="58">
        <v>27822</v>
      </c>
      <c r="CU24" s="58">
        <v>171265</v>
      </c>
      <c r="CV24" s="58">
        <v>182843</v>
      </c>
      <c r="CW24" s="58">
        <v>155306</v>
      </c>
      <c r="CX24" s="58">
        <v>142262</v>
      </c>
      <c r="CY24" s="58">
        <v>131848</v>
      </c>
      <c r="CZ24" s="58">
        <v>119221</v>
      </c>
      <c r="DA24" s="58">
        <v>101918</v>
      </c>
      <c r="DB24" s="58">
        <v>89113</v>
      </c>
      <c r="DC24" s="58">
        <v>75645</v>
      </c>
      <c r="DD24" s="58">
        <v>61904</v>
      </c>
      <c r="DE24" s="58">
        <v>47780</v>
      </c>
      <c r="DF24" s="58">
        <v>35713</v>
      </c>
      <c r="DG24" s="58">
        <v>25714</v>
      </c>
      <c r="DH24" s="58">
        <v>24998</v>
      </c>
      <c r="DI24" s="58">
        <v>1411391</v>
      </c>
      <c r="DJ24" s="58">
        <v>37306</v>
      </c>
      <c r="DK24" s="58">
        <v>57166</v>
      </c>
      <c r="DL24" s="58">
        <v>351769</v>
      </c>
      <c r="DM24" s="58">
        <v>380012</v>
      </c>
      <c r="DN24" s="58">
        <v>330023</v>
      </c>
      <c r="DO24" s="58">
        <v>303762</v>
      </c>
      <c r="DP24" s="58">
        <v>282775</v>
      </c>
      <c r="DQ24" s="58">
        <v>257196</v>
      </c>
      <c r="DR24" s="58">
        <v>221348</v>
      </c>
      <c r="DS24" s="58">
        <v>195012</v>
      </c>
      <c r="DT24" s="58">
        <v>165251</v>
      </c>
      <c r="DU24" s="58">
        <v>133998</v>
      </c>
      <c r="DV24" s="58">
        <v>103484</v>
      </c>
      <c r="DW24" s="58">
        <v>78417</v>
      </c>
      <c r="DX24" s="58">
        <v>57564</v>
      </c>
      <c r="DY24" s="58">
        <v>58220</v>
      </c>
      <c r="DZ24" s="139">
        <v>3013303</v>
      </c>
      <c r="EA24" s="18">
        <f t="shared" si="24"/>
        <v>5</v>
      </c>
      <c r="EB24" s="18">
        <f t="shared" si="25"/>
        <v>1</v>
      </c>
      <c r="EC24" s="63">
        <f t="shared" si="26"/>
        <v>23</v>
      </c>
      <c r="ED24" s="18" t="s">
        <v>372</v>
      </c>
    </row>
    <row r="25" spans="1:134" ht="40.799999999999997" x14ac:dyDescent="0.2">
      <c r="A25" s="18">
        <v>21</v>
      </c>
      <c r="B25" s="18" t="s">
        <v>20</v>
      </c>
      <c r="C25" s="59">
        <v>34309.599999999999</v>
      </c>
      <c r="D25" s="57">
        <f t="shared" si="1"/>
        <v>1.7499121463476086</v>
      </c>
      <c r="E25" s="18">
        <v>217</v>
      </c>
      <c r="F25" s="58">
        <v>6583278</v>
      </c>
      <c r="G25" s="64">
        <f t="shared" si="2"/>
        <v>5.2242423430585792E-2</v>
      </c>
      <c r="H25" s="58">
        <v>3423163</v>
      </c>
      <c r="I25" s="58">
        <v>3160115</v>
      </c>
      <c r="J25" s="60">
        <v>26.515407673799999</v>
      </c>
      <c r="K25" s="58">
        <f t="shared" si="3"/>
        <v>1745582.9999995872</v>
      </c>
      <c r="L25" s="58">
        <f t="shared" si="4"/>
        <v>4837695.0000004126</v>
      </c>
      <c r="M25" s="60">
        <v>191.87834021629999</v>
      </c>
      <c r="N25" s="60">
        <v>74.97</v>
      </c>
      <c r="O25" s="60">
        <v>77.959999999999994</v>
      </c>
      <c r="P25" s="60">
        <v>71.87</v>
      </c>
      <c r="Q25" s="18">
        <v>28</v>
      </c>
      <c r="R25" s="18">
        <v>29</v>
      </c>
      <c r="S25" s="18">
        <v>26</v>
      </c>
      <c r="T25" s="58">
        <v>286513</v>
      </c>
      <c r="U25" s="58">
        <v>296362</v>
      </c>
      <c r="V25" s="58">
        <v>297522</v>
      </c>
      <c r="W25" s="58">
        <v>301373</v>
      </c>
      <c r="X25" s="58">
        <v>291272</v>
      </c>
      <c r="Y25" s="58">
        <v>276390</v>
      </c>
      <c r="Z25" s="58">
        <v>254709</v>
      </c>
      <c r="AA25" s="58">
        <v>245344</v>
      </c>
      <c r="AB25" s="58">
        <v>228539</v>
      </c>
      <c r="AC25" s="58">
        <v>204659</v>
      </c>
      <c r="AD25" s="58">
        <v>181558</v>
      </c>
      <c r="AE25" s="58">
        <v>145475</v>
      </c>
      <c r="AF25" s="58">
        <v>124995</v>
      </c>
      <c r="AG25" s="58">
        <v>96984</v>
      </c>
      <c r="AH25" s="58">
        <v>70370</v>
      </c>
      <c r="AI25" s="58">
        <v>49695</v>
      </c>
      <c r="AJ25" s="58">
        <v>34252</v>
      </c>
      <c r="AK25" s="58">
        <v>34302</v>
      </c>
      <c r="AL25" s="58">
        <v>2849</v>
      </c>
      <c r="AM25" s="58">
        <v>292266</v>
      </c>
      <c r="AN25" s="58">
        <v>302188</v>
      </c>
      <c r="AO25" s="58">
        <v>305853</v>
      </c>
      <c r="AP25" s="58">
        <v>305827</v>
      </c>
      <c r="AQ25" s="58">
        <v>279374</v>
      </c>
      <c r="AR25" s="58">
        <v>251899</v>
      </c>
      <c r="AS25" s="58">
        <v>221145</v>
      </c>
      <c r="AT25" s="58">
        <v>212520</v>
      </c>
      <c r="AU25" s="58">
        <v>196550</v>
      </c>
      <c r="AV25" s="58">
        <v>178206</v>
      </c>
      <c r="AW25" s="58">
        <v>153039</v>
      </c>
      <c r="AX25" s="58">
        <v>123605</v>
      </c>
      <c r="AY25" s="58">
        <v>104369</v>
      </c>
      <c r="AZ25" s="58">
        <v>80892</v>
      </c>
      <c r="BA25" s="58">
        <v>58004</v>
      </c>
      <c r="BB25" s="58">
        <v>41799</v>
      </c>
      <c r="BC25" s="58">
        <v>26102</v>
      </c>
      <c r="BD25" s="58">
        <v>23655</v>
      </c>
      <c r="BE25" s="58">
        <v>2822</v>
      </c>
      <c r="BF25" s="58">
        <f t="shared" si="5"/>
        <v>578779</v>
      </c>
      <c r="BG25" s="58">
        <f t="shared" si="6"/>
        <v>598550</v>
      </c>
      <c r="BH25" s="58">
        <f t="shared" si="7"/>
        <v>603375</v>
      </c>
      <c r="BI25" s="58">
        <f t="shared" si="8"/>
        <v>607200</v>
      </c>
      <c r="BJ25" s="58">
        <f t="shared" si="9"/>
        <v>570646</v>
      </c>
      <c r="BK25" s="58">
        <f t="shared" si="10"/>
        <v>528289</v>
      </c>
      <c r="BL25" s="58">
        <f t="shared" si="11"/>
        <v>475854</v>
      </c>
      <c r="BM25" s="58">
        <f t="shared" si="12"/>
        <v>457864</v>
      </c>
      <c r="BN25" s="58">
        <f t="shared" si="13"/>
        <v>425089</v>
      </c>
      <c r="BO25" s="58">
        <f t="shared" si="14"/>
        <v>382865</v>
      </c>
      <c r="BP25" s="58">
        <f t="shared" si="15"/>
        <v>334597</v>
      </c>
      <c r="BQ25" s="58">
        <f t="shared" si="16"/>
        <v>269080</v>
      </c>
      <c r="BR25" s="58">
        <f t="shared" si="17"/>
        <v>229364</v>
      </c>
      <c r="BS25" s="58">
        <f t="shared" si="18"/>
        <v>177876</v>
      </c>
      <c r="BT25" s="58">
        <f t="shared" si="19"/>
        <v>128374</v>
      </c>
      <c r="BU25" s="58">
        <f t="shared" si="20"/>
        <v>91494</v>
      </c>
      <c r="BV25" s="58">
        <f t="shared" si="21"/>
        <v>60354</v>
      </c>
      <c r="BW25" s="58">
        <f t="shared" si="22"/>
        <v>57957</v>
      </c>
      <c r="BX25" s="58">
        <f t="shared" si="23"/>
        <v>5671</v>
      </c>
      <c r="BY25" s="58">
        <v>4739970</v>
      </c>
      <c r="BZ25" s="58">
        <v>2523535</v>
      </c>
      <c r="CA25" s="58">
        <v>2216435</v>
      </c>
      <c r="CB25" s="58">
        <v>31917</v>
      </c>
      <c r="CC25" s="58">
        <v>50441</v>
      </c>
      <c r="CD25" s="58">
        <v>306241</v>
      </c>
      <c r="CE25" s="58">
        <v>319823</v>
      </c>
      <c r="CF25" s="58">
        <v>281731</v>
      </c>
      <c r="CG25" s="58">
        <v>260455</v>
      </c>
      <c r="CH25" s="58">
        <v>243882</v>
      </c>
      <c r="CI25" s="58">
        <v>223687</v>
      </c>
      <c r="CJ25" s="58">
        <v>188635</v>
      </c>
      <c r="CK25" s="58">
        <v>159061</v>
      </c>
      <c r="CL25" s="58">
        <v>132024</v>
      </c>
      <c r="CM25" s="58">
        <v>103071</v>
      </c>
      <c r="CN25" s="58">
        <v>78445</v>
      </c>
      <c r="CO25" s="58">
        <v>57172</v>
      </c>
      <c r="CP25" s="58">
        <v>41354</v>
      </c>
      <c r="CQ25" s="58">
        <v>45596</v>
      </c>
      <c r="CR25" s="58">
        <v>2523535</v>
      </c>
      <c r="CS25" s="58">
        <v>31767</v>
      </c>
      <c r="CT25" s="58">
        <v>48438</v>
      </c>
      <c r="CU25" s="58">
        <v>296358</v>
      </c>
      <c r="CV25" s="58">
        <v>305930</v>
      </c>
      <c r="CW25" s="58">
        <v>253226</v>
      </c>
      <c r="CX25" s="58">
        <v>226643</v>
      </c>
      <c r="CY25" s="58">
        <v>209307</v>
      </c>
      <c r="CZ25" s="58">
        <v>191642</v>
      </c>
      <c r="DA25" s="58">
        <v>157483</v>
      </c>
      <c r="DB25" s="58">
        <v>131076</v>
      </c>
      <c r="DC25" s="58">
        <v>108426</v>
      </c>
      <c r="DD25" s="58">
        <v>84730</v>
      </c>
      <c r="DE25" s="58">
        <v>63575</v>
      </c>
      <c r="DF25" s="58">
        <v>45785</v>
      </c>
      <c r="DG25" s="58">
        <v>31007</v>
      </c>
      <c r="DH25" s="58">
        <v>31042</v>
      </c>
      <c r="DI25" s="58">
        <v>2216435</v>
      </c>
      <c r="DJ25" s="58">
        <v>63684</v>
      </c>
      <c r="DK25" s="58">
        <v>98879</v>
      </c>
      <c r="DL25" s="58">
        <v>602599</v>
      </c>
      <c r="DM25" s="58">
        <v>625753</v>
      </c>
      <c r="DN25" s="58">
        <v>534957</v>
      </c>
      <c r="DO25" s="58">
        <v>487098</v>
      </c>
      <c r="DP25" s="58">
        <v>453189</v>
      </c>
      <c r="DQ25" s="58">
        <v>415329</v>
      </c>
      <c r="DR25" s="58">
        <v>346118</v>
      </c>
      <c r="DS25" s="58">
        <v>290137</v>
      </c>
      <c r="DT25" s="58">
        <v>240450</v>
      </c>
      <c r="DU25" s="58">
        <v>187801</v>
      </c>
      <c r="DV25" s="58">
        <v>142020</v>
      </c>
      <c r="DW25" s="58">
        <v>102957</v>
      </c>
      <c r="DX25" s="58">
        <v>72361</v>
      </c>
      <c r="DY25" s="58">
        <v>76638</v>
      </c>
      <c r="DZ25" s="139">
        <v>4739970</v>
      </c>
      <c r="EA25" s="18">
        <f t="shared" si="24"/>
        <v>21</v>
      </c>
      <c r="EB25" s="18">
        <f t="shared" si="25"/>
        <v>2</v>
      </c>
      <c r="EC25" s="63">
        <f t="shared" si="26"/>
        <v>8</v>
      </c>
      <c r="ED25" s="18" t="s">
        <v>373</v>
      </c>
    </row>
    <row r="26" spans="1:134" ht="40.799999999999997" x14ac:dyDescent="0.2">
      <c r="A26" s="18">
        <v>22</v>
      </c>
      <c r="B26" s="18" t="s">
        <v>21</v>
      </c>
      <c r="C26" s="59">
        <v>11690.6</v>
      </c>
      <c r="D26" s="57">
        <f t="shared" si="1"/>
        <v>0.59626235625280843</v>
      </c>
      <c r="E26" s="18">
        <v>18</v>
      </c>
      <c r="F26" s="58">
        <v>2368467</v>
      </c>
      <c r="G26" s="64">
        <f t="shared" si="2"/>
        <v>1.8795265200006628E-2</v>
      </c>
      <c r="H26" s="58">
        <v>1211647</v>
      </c>
      <c r="I26" s="58">
        <v>1156820</v>
      </c>
      <c r="J26" s="60">
        <v>21.051887148900001</v>
      </c>
      <c r="K26" s="58">
        <f t="shared" si="3"/>
        <v>498606.99999893736</v>
      </c>
      <c r="L26" s="58">
        <f t="shared" si="4"/>
        <v>1869860.0000010626</v>
      </c>
      <c r="M26" s="60">
        <v>202.59616929769999</v>
      </c>
      <c r="N26" s="60">
        <v>75.78</v>
      </c>
      <c r="O26" s="60">
        <v>78.760000000000005</v>
      </c>
      <c r="P26" s="60">
        <v>72.84</v>
      </c>
      <c r="Q26" s="18">
        <v>29</v>
      </c>
      <c r="R26" s="18">
        <v>30</v>
      </c>
      <c r="S26" s="18">
        <v>28</v>
      </c>
      <c r="T26" s="58">
        <v>93370</v>
      </c>
      <c r="U26" s="58">
        <v>97011</v>
      </c>
      <c r="V26" s="58">
        <v>97754</v>
      </c>
      <c r="W26" s="58">
        <v>98300</v>
      </c>
      <c r="X26" s="58">
        <v>104692</v>
      </c>
      <c r="Y26" s="58">
        <v>108596</v>
      </c>
      <c r="Z26" s="58">
        <v>100283</v>
      </c>
      <c r="AA26" s="58">
        <v>94776</v>
      </c>
      <c r="AB26" s="58">
        <v>86410</v>
      </c>
      <c r="AC26" s="58">
        <v>77991</v>
      </c>
      <c r="AD26" s="58">
        <v>66848</v>
      </c>
      <c r="AE26" s="58">
        <v>51771</v>
      </c>
      <c r="AF26" s="58">
        <v>42960</v>
      </c>
      <c r="AG26" s="58">
        <v>31097</v>
      </c>
      <c r="AH26" s="58">
        <v>22180</v>
      </c>
      <c r="AI26" s="58">
        <v>14901</v>
      </c>
      <c r="AJ26" s="58">
        <v>9743</v>
      </c>
      <c r="AK26" s="58">
        <v>9540</v>
      </c>
      <c r="AL26" s="58">
        <v>3424</v>
      </c>
      <c r="AM26" s="58">
        <v>94523</v>
      </c>
      <c r="AN26" s="58">
        <v>99958</v>
      </c>
      <c r="AO26" s="58">
        <v>100847</v>
      </c>
      <c r="AP26" s="58">
        <v>99841</v>
      </c>
      <c r="AQ26" s="58">
        <v>104347</v>
      </c>
      <c r="AR26" s="58">
        <v>105543</v>
      </c>
      <c r="AS26" s="58">
        <v>94293</v>
      </c>
      <c r="AT26" s="58">
        <v>87967</v>
      </c>
      <c r="AU26" s="58">
        <v>79318</v>
      </c>
      <c r="AV26" s="58">
        <v>71841</v>
      </c>
      <c r="AW26" s="58">
        <v>59009</v>
      </c>
      <c r="AX26" s="58">
        <v>46132</v>
      </c>
      <c r="AY26" s="58">
        <v>37769</v>
      </c>
      <c r="AZ26" s="58">
        <v>26736</v>
      </c>
      <c r="BA26" s="58">
        <v>18799</v>
      </c>
      <c r="BB26" s="58">
        <v>12516</v>
      </c>
      <c r="BC26" s="58">
        <v>7578</v>
      </c>
      <c r="BD26" s="58">
        <v>6403</v>
      </c>
      <c r="BE26" s="58">
        <v>3400</v>
      </c>
      <c r="BF26" s="58">
        <f t="shared" si="5"/>
        <v>187893</v>
      </c>
      <c r="BG26" s="58">
        <f t="shared" si="6"/>
        <v>196969</v>
      </c>
      <c r="BH26" s="58">
        <f t="shared" si="7"/>
        <v>198601</v>
      </c>
      <c r="BI26" s="58">
        <f t="shared" si="8"/>
        <v>198141</v>
      </c>
      <c r="BJ26" s="58">
        <f t="shared" si="9"/>
        <v>209039</v>
      </c>
      <c r="BK26" s="58">
        <f t="shared" si="10"/>
        <v>214139</v>
      </c>
      <c r="BL26" s="58">
        <f t="shared" si="11"/>
        <v>194576</v>
      </c>
      <c r="BM26" s="58">
        <f t="shared" si="12"/>
        <v>182743</v>
      </c>
      <c r="BN26" s="58">
        <f t="shared" si="13"/>
        <v>165728</v>
      </c>
      <c r="BO26" s="58">
        <f t="shared" si="14"/>
        <v>149832</v>
      </c>
      <c r="BP26" s="58">
        <f t="shared" si="15"/>
        <v>125857</v>
      </c>
      <c r="BQ26" s="58">
        <f t="shared" si="16"/>
        <v>97903</v>
      </c>
      <c r="BR26" s="58">
        <f t="shared" si="17"/>
        <v>80729</v>
      </c>
      <c r="BS26" s="58">
        <f t="shared" si="18"/>
        <v>57833</v>
      </c>
      <c r="BT26" s="58">
        <f t="shared" si="19"/>
        <v>40979</v>
      </c>
      <c r="BU26" s="58">
        <f t="shared" si="20"/>
        <v>27417</v>
      </c>
      <c r="BV26" s="58">
        <f t="shared" si="21"/>
        <v>17321</v>
      </c>
      <c r="BW26" s="58">
        <f t="shared" si="22"/>
        <v>15943</v>
      </c>
      <c r="BX26" s="58">
        <f t="shared" si="23"/>
        <v>6824</v>
      </c>
      <c r="BY26" s="58">
        <v>1736388</v>
      </c>
      <c r="BZ26" s="58">
        <v>895406</v>
      </c>
      <c r="CA26" s="58">
        <v>840982</v>
      </c>
      <c r="CB26" s="58">
        <v>14046</v>
      </c>
      <c r="CC26" s="58">
        <v>19231</v>
      </c>
      <c r="CD26" s="58">
        <v>104345</v>
      </c>
      <c r="CE26" s="58">
        <v>112199</v>
      </c>
      <c r="CF26" s="58">
        <v>105708</v>
      </c>
      <c r="CG26" s="58">
        <v>97899</v>
      </c>
      <c r="CH26" s="58">
        <v>90636</v>
      </c>
      <c r="CI26" s="58">
        <v>84717</v>
      </c>
      <c r="CJ26" s="58">
        <v>69645</v>
      </c>
      <c r="CK26" s="58">
        <v>57135</v>
      </c>
      <c r="CL26" s="58">
        <v>45018</v>
      </c>
      <c r="CM26" s="58">
        <v>33420</v>
      </c>
      <c r="CN26" s="58">
        <v>23638</v>
      </c>
      <c r="CO26" s="58">
        <v>16429</v>
      </c>
      <c r="CP26" s="58">
        <v>10791</v>
      </c>
      <c r="CQ26" s="58">
        <v>10549</v>
      </c>
      <c r="CR26" s="58">
        <v>895406</v>
      </c>
      <c r="CS26" s="58">
        <v>14148</v>
      </c>
      <c r="CT26" s="58">
        <v>18822</v>
      </c>
      <c r="CU26" s="58">
        <v>106104</v>
      </c>
      <c r="CV26" s="58">
        <v>114061</v>
      </c>
      <c r="CW26" s="58">
        <v>103773</v>
      </c>
      <c r="CX26" s="58">
        <v>93198</v>
      </c>
      <c r="CY26" s="58">
        <v>83833</v>
      </c>
      <c r="CZ26" s="58">
        <v>78093</v>
      </c>
      <c r="DA26" s="58">
        <v>62561</v>
      </c>
      <c r="DB26" s="58">
        <v>50448</v>
      </c>
      <c r="DC26" s="58">
        <v>39848</v>
      </c>
      <c r="DD26" s="58">
        <v>28569</v>
      </c>
      <c r="DE26" s="58">
        <v>19820</v>
      </c>
      <c r="DF26" s="58">
        <v>12890</v>
      </c>
      <c r="DG26" s="58">
        <v>8132</v>
      </c>
      <c r="DH26" s="58">
        <v>6682</v>
      </c>
      <c r="DI26" s="58">
        <v>840982</v>
      </c>
      <c r="DJ26" s="58">
        <v>28194</v>
      </c>
      <c r="DK26" s="58">
        <v>38053</v>
      </c>
      <c r="DL26" s="58">
        <v>210449</v>
      </c>
      <c r="DM26" s="58">
        <v>226260</v>
      </c>
      <c r="DN26" s="58">
        <v>209481</v>
      </c>
      <c r="DO26" s="58">
        <v>191097</v>
      </c>
      <c r="DP26" s="58">
        <v>174469</v>
      </c>
      <c r="DQ26" s="58">
        <v>162810</v>
      </c>
      <c r="DR26" s="58">
        <v>132206</v>
      </c>
      <c r="DS26" s="58">
        <v>107583</v>
      </c>
      <c r="DT26" s="58">
        <v>84866</v>
      </c>
      <c r="DU26" s="58">
        <v>61989</v>
      </c>
      <c r="DV26" s="58">
        <v>43458</v>
      </c>
      <c r="DW26" s="58">
        <v>29319</v>
      </c>
      <c r="DX26" s="58">
        <v>18923</v>
      </c>
      <c r="DY26" s="58">
        <v>17231</v>
      </c>
      <c r="DZ26" s="139">
        <v>1736388</v>
      </c>
      <c r="EA26" s="18">
        <f t="shared" si="24"/>
        <v>27</v>
      </c>
      <c r="EB26" s="18">
        <f t="shared" si="25"/>
        <v>23</v>
      </c>
      <c r="EC26" s="63">
        <f t="shared" si="26"/>
        <v>6</v>
      </c>
      <c r="ED26" s="18" t="s">
        <v>374</v>
      </c>
    </row>
    <row r="27" spans="1:134" ht="40.799999999999997" x14ac:dyDescent="0.2">
      <c r="A27" s="18">
        <v>23</v>
      </c>
      <c r="B27" s="18" t="s">
        <v>22</v>
      </c>
      <c r="C27" s="59">
        <v>44705.2</v>
      </c>
      <c r="D27" s="57">
        <f t="shared" si="1"/>
        <v>2.2801248771451466</v>
      </c>
      <c r="E27" s="18">
        <v>11</v>
      </c>
      <c r="F27" s="58">
        <v>1857985</v>
      </c>
      <c r="G27" s="64">
        <f t="shared" si="2"/>
        <v>1.474427163757583E-2</v>
      </c>
      <c r="H27" s="58">
        <v>921206</v>
      </c>
      <c r="I27" s="58">
        <v>936779</v>
      </c>
      <c r="J27" s="60">
        <v>9.7270430063000006</v>
      </c>
      <c r="K27" s="58">
        <f t="shared" si="3"/>
        <v>180727.00000060309</v>
      </c>
      <c r="L27" s="58">
        <f t="shared" si="4"/>
        <v>1677257.999999397</v>
      </c>
      <c r="M27" s="60">
        <v>41.560788990399999</v>
      </c>
      <c r="N27" s="60">
        <v>75.62</v>
      </c>
      <c r="O27" s="60">
        <v>78.8</v>
      </c>
      <c r="P27" s="60">
        <v>72.760000000000005</v>
      </c>
      <c r="Q27" s="18">
        <v>28</v>
      </c>
      <c r="R27" s="18">
        <v>29</v>
      </c>
      <c r="S27" s="18">
        <v>28</v>
      </c>
      <c r="T27" s="58">
        <v>72573</v>
      </c>
      <c r="U27" s="58">
        <v>76767</v>
      </c>
      <c r="V27" s="58">
        <v>75817</v>
      </c>
      <c r="W27" s="58">
        <v>73033</v>
      </c>
      <c r="X27" s="58">
        <v>81803</v>
      </c>
      <c r="Y27" s="58">
        <v>91413</v>
      </c>
      <c r="Z27" s="58">
        <v>87085</v>
      </c>
      <c r="AA27" s="58">
        <v>79807</v>
      </c>
      <c r="AB27" s="58">
        <v>67896</v>
      </c>
      <c r="AC27" s="58">
        <v>57491</v>
      </c>
      <c r="AD27" s="58">
        <v>46544</v>
      </c>
      <c r="AE27" s="58">
        <v>33471</v>
      </c>
      <c r="AF27" s="58">
        <v>25146</v>
      </c>
      <c r="AG27" s="58">
        <v>17466</v>
      </c>
      <c r="AH27" s="58">
        <v>10974</v>
      </c>
      <c r="AI27" s="58">
        <v>6420</v>
      </c>
      <c r="AJ27" s="58">
        <v>3851</v>
      </c>
      <c r="AK27" s="58">
        <v>3128</v>
      </c>
      <c r="AL27" s="58">
        <v>10521</v>
      </c>
      <c r="AM27" s="58">
        <v>75158</v>
      </c>
      <c r="AN27" s="58">
        <v>78621</v>
      </c>
      <c r="AO27" s="58">
        <v>78464</v>
      </c>
      <c r="AP27" s="58">
        <v>74516</v>
      </c>
      <c r="AQ27" s="58">
        <v>83186</v>
      </c>
      <c r="AR27" s="58">
        <v>93034</v>
      </c>
      <c r="AS27" s="58">
        <v>88048</v>
      </c>
      <c r="AT27" s="58">
        <v>81665</v>
      </c>
      <c r="AU27" s="58">
        <v>68835</v>
      </c>
      <c r="AV27" s="58">
        <v>59554</v>
      </c>
      <c r="AW27" s="58">
        <v>47616</v>
      </c>
      <c r="AX27" s="58">
        <v>33514</v>
      </c>
      <c r="AY27" s="58">
        <v>24175</v>
      </c>
      <c r="AZ27" s="58">
        <v>16738</v>
      </c>
      <c r="BA27" s="58">
        <v>10704</v>
      </c>
      <c r="BB27" s="58">
        <v>6268</v>
      </c>
      <c r="BC27" s="58">
        <v>3570</v>
      </c>
      <c r="BD27" s="58">
        <v>2612</v>
      </c>
      <c r="BE27" s="58">
        <v>10501</v>
      </c>
      <c r="BF27" s="58">
        <f t="shared" si="5"/>
        <v>147731</v>
      </c>
      <c r="BG27" s="58">
        <f t="shared" si="6"/>
        <v>155388</v>
      </c>
      <c r="BH27" s="58">
        <f t="shared" si="7"/>
        <v>154281</v>
      </c>
      <c r="BI27" s="58">
        <f t="shared" si="8"/>
        <v>147549</v>
      </c>
      <c r="BJ27" s="58">
        <f t="shared" si="9"/>
        <v>164989</v>
      </c>
      <c r="BK27" s="58">
        <f t="shared" si="10"/>
        <v>184447</v>
      </c>
      <c r="BL27" s="58">
        <f t="shared" si="11"/>
        <v>175133</v>
      </c>
      <c r="BM27" s="58">
        <f t="shared" si="12"/>
        <v>161472</v>
      </c>
      <c r="BN27" s="58">
        <f t="shared" si="13"/>
        <v>136731</v>
      </c>
      <c r="BO27" s="58">
        <f t="shared" si="14"/>
        <v>117045</v>
      </c>
      <c r="BP27" s="58">
        <f t="shared" si="15"/>
        <v>94160</v>
      </c>
      <c r="BQ27" s="58">
        <f t="shared" si="16"/>
        <v>66985</v>
      </c>
      <c r="BR27" s="58">
        <f t="shared" si="17"/>
        <v>49321</v>
      </c>
      <c r="BS27" s="58">
        <f t="shared" si="18"/>
        <v>34204</v>
      </c>
      <c r="BT27" s="58">
        <f t="shared" si="19"/>
        <v>21678</v>
      </c>
      <c r="BU27" s="58">
        <f t="shared" si="20"/>
        <v>12688</v>
      </c>
      <c r="BV27" s="58">
        <f t="shared" si="21"/>
        <v>7421</v>
      </c>
      <c r="BW27" s="58">
        <f t="shared" si="22"/>
        <v>5740</v>
      </c>
      <c r="BX27" s="58">
        <f t="shared" si="23"/>
        <v>21022</v>
      </c>
      <c r="BY27" s="58">
        <v>1322601</v>
      </c>
      <c r="BZ27" s="58">
        <v>648045</v>
      </c>
      <c r="CA27" s="58">
        <v>674556</v>
      </c>
      <c r="CB27" s="58">
        <v>9481</v>
      </c>
      <c r="CC27" s="58">
        <v>13536</v>
      </c>
      <c r="CD27" s="58">
        <v>78276</v>
      </c>
      <c r="CE27" s="58">
        <v>92366</v>
      </c>
      <c r="CF27" s="58">
        <v>90141</v>
      </c>
      <c r="CG27" s="58">
        <v>79617</v>
      </c>
      <c r="CH27" s="58">
        <v>68807</v>
      </c>
      <c r="CI27" s="58">
        <v>60666</v>
      </c>
      <c r="CJ27" s="58">
        <v>47746</v>
      </c>
      <c r="CK27" s="58">
        <v>36879</v>
      </c>
      <c r="CL27" s="58">
        <v>26629</v>
      </c>
      <c r="CM27" s="58">
        <v>18181</v>
      </c>
      <c r="CN27" s="58">
        <v>11799</v>
      </c>
      <c r="CO27" s="58">
        <v>6739</v>
      </c>
      <c r="CP27" s="58">
        <v>4068</v>
      </c>
      <c r="CQ27" s="58">
        <v>3114</v>
      </c>
      <c r="CR27" s="58">
        <v>648045</v>
      </c>
      <c r="CS27" s="58">
        <v>9507</v>
      </c>
      <c r="CT27" s="58">
        <v>13500</v>
      </c>
      <c r="CU27" s="58">
        <v>82766</v>
      </c>
      <c r="CV27" s="58">
        <v>98529</v>
      </c>
      <c r="CW27" s="58">
        <v>96806</v>
      </c>
      <c r="CX27" s="58">
        <v>84808</v>
      </c>
      <c r="CY27" s="58">
        <v>71907</v>
      </c>
      <c r="CZ27" s="58">
        <v>62982</v>
      </c>
      <c r="DA27" s="58">
        <v>49319</v>
      </c>
      <c r="DB27" s="58">
        <v>37070</v>
      </c>
      <c r="DC27" s="58">
        <v>25854</v>
      </c>
      <c r="DD27" s="58">
        <v>17503</v>
      </c>
      <c r="DE27" s="58">
        <v>11505</v>
      </c>
      <c r="DF27" s="58">
        <v>6238</v>
      </c>
      <c r="DG27" s="58">
        <v>3694</v>
      </c>
      <c r="DH27" s="58">
        <v>2568</v>
      </c>
      <c r="DI27" s="58">
        <v>674556</v>
      </c>
      <c r="DJ27" s="58">
        <v>18988</v>
      </c>
      <c r="DK27" s="58">
        <v>27036</v>
      </c>
      <c r="DL27" s="58">
        <v>161042</v>
      </c>
      <c r="DM27" s="58">
        <v>190895</v>
      </c>
      <c r="DN27" s="58">
        <v>186947</v>
      </c>
      <c r="DO27" s="58">
        <v>164425</v>
      </c>
      <c r="DP27" s="58">
        <v>140714</v>
      </c>
      <c r="DQ27" s="58">
        <v>123648</v>
      </c>
      <c r="DR27" s="58">
        <v>97065</v>
      </c>
      <c r="DS27" s="58">
        <v>73949</v>
      </c>
      <c r="DT27" s="58">
        <v>52483</v>
      </c>
      <c r="DU27" s="58">
        <v>35684</v>
      </c>
      <c r="DV27" s="58">
        <v>23304</v>
      </c>
      <c r="DW27" s="58">
        <v>12977</v>
      </c>
      <c r="DX27" s="58">
        <v>7762</v>
      </c>
      <c r="DY27" s="58">
        <v>5682</v>
      </c>
      <c r="DZ27" s="139">
        <v>1322601</v>
      </c>
      <c r="EA27" s="18">
        <f t="shared" si="24"/>
        <v>19</v>
      </c>
      <c r="EB27" s="18">
        <f t="shared" si="25"/>
        <v>28</v>
      </c>
      <c r="EC27" s="63">
        <f t="shared" si="26"/>
        <v>25</v>
      </c>
      <c r="ED27" s="18" t="s">
        <v>375</v>
      </c>
    </row>
    <row r="28" spans="1:134" ht="40.799999999999997" x14ac:dyDescent="0.2">
      <c r="A28" s="18">
        <v>24</v>
      </c>
      <c r="B28" s="18" t="s">
        <v>23</v>
      </c>
      <c r="C28" s="59">
        <v>61138</v>
      </c>
      <c r="D28" s="57">
        <f t="shared" si="1"/>
        <v>3.1182563714936955</v>
      </c>
      <c r="E28" s="18">
        <v>58</v>
      </c>
      <c r="F28" s="58">
        <v>2822255</v>
      </c>
      <c r="G28" s="64">
        <f t="shared" si="2"/>
        <v>2.2396356456325844E-2</v>
      </c>
      <c r="H28" s="58">
        <v>1449804</v>
      </c>
      <c r="I28" s="58">
        <v>1372451</v>
      </c>
      <c r="J28" s="60">
        <v>32.791119158299999</v>
      </c>
      <c r="K28" s="58">
        <f t="shared" si="3"/>
        <v>925449.00000107964</v>
      </c>
      <c r="L28" s="58">
        <f t="shared" si="4"/>
        <v>1896805.9999989204</v>
      </c>
      <c r="M28" s="60">
        <v>46.162079606299997</v>
      </c>
      <c r="N28" s="60">
        <v>75.03</v>
      </c>
      <c r="O28" s="60">
        <v>77.69</v>
      </c>
      <c r="P28" s="60">
        <v>72.39</v>
      </c>
      <c r="Q28" s="18">
        <v>29</v>
      </c>
      <c r="R28" s="18">
        <v>30</v>
      </c>
      <c r="S28" s="18">
        <v>28</v>
      </c>
      <c r="T28" s="58">
        <v>114600</v>
      </c>
      <c r="U28" s="58">
        <v>119755</v>
      </c>
      <c r="V28" s="58">
        <v>124526</v>
      </c>
      <c r="W28" s="58">
        <v>125813</v>
      </c>
      <c r="X28" s="58">
        <v>118699</v>
      </c>
      <c r="Y28" s="58">
        <v>114932</v>
      </c>
      <c r="Z28" s="58">
        <v>107534</v>
      </c>
      <c r="AA28" s="58">
        <v>101241</v>
      </c>
      <c r="AB28" s="58">
        <v>94780</v>
      </c>
      <c r="AC28" s="58">
        <v>88785</v>
      </c>
      <c r="AD28" s="58">
        <v>81291</v>
      </c>
      <c r="AE28" s="58">
        <v>66472</v>
      </c>
      <c r="AF28" s="58">
        <v>56604</v>
      </c>
      <c r="AG28" s="58">
        <v>43019</v>
      </c>
      <c r="AH28" s="58">
        <v>33001</v>
      </c>
      <c r="AI28" s="58">
        <v>23695</v>
      </c>
      <c r="AJ28" s="58">
        <v>17330</v>
      </c>
      <c r="AK28" s="58">
        <v>16749</v>
      </c>
      <c r="AL28" s="58">
        <v>978</v>
      </c>
      <c r="AM28" s="58">
        <v>116331</v>
      </c>
      <c r="AN28" s="58">
        <v>122972</v>
      </c>
      <c r="AO28" s="58">
        <v>128254</v>
      </c>
      <c r="AP28" s="58">
        <v>127984</v>
      </c>
      <c r="AQ28" s="58">
        <v>113430</v>
      </c>
      <c r="AR28" s="58">
        <v>106032</v>
      </c>
      <c r="AS28" s="58">
        <v>96754</v>
      </c>
      <c r="AT28" s="58">
        <v>90728</v>
      </c>
      <c r="AU28" s="58">
        <v>85394</v>
      </c>
      <c r="AV28" s="58">
        <v>80668</v>
      </c>
      <c r="AW28" s="58">
        <v>72445</v>
      </c>
      <c r="AX28" s="58">
        <v>59294</v>
      </c>
      <c r="AY28" s="58">
        <v>51031</v>
      </c>
      <c r="AZ28" s="58">
        <v>39217</v>
      </c>
      <c r="BA28" s="58">
        <v>30156</v>
      </c>
      <c r="BB28" s="58">
        <v>22290</v>
      </c>
      <c r="BC28" s="58">
        <v>14922</v>
      </c>
      <c r="BD28" s="58">
        <v>13585</v>
      </c>
      <c r="BE28" s="58">
        <v>964</v>
      </c>
      <c r="BF28" s="58">
        <f t="shared" si="5"/>
        <v>230931</v>
      </c>
      <c r="BG28" s="58">
        <f t="shared" si="6"/>
        <v>242727</v>
      </c>
      <c r="BH28" s="58">
        <f t="shared" si="7"/>
        <v>252780</v>
      </c>
      <c r="BI28" s="58">
        <f t="shared" si="8"/>
        <v>253797</v>
      </c>
      <c r="BJ28" s="58">
        <f t="shared" si="9"/>
        <v>232129</v>
      </c>
      <c r="BK28" s="58">
        <f t="shared" si="10"/>
        <v>220964</v>
      </c>
      <c r="BL28" s="58">
        <f t="shared" si="11"/>
        <v>204288</v>
      </c>
      <c r="BM28" s="58">
        <f t="shared" si="12"/>
        <v>191969</v>
      </c>
      <c r="BN28" s="58">
        <f t="shared" si="13"/>
        <v>180174</v>
      </c>
      <c r="BO28" s="58">
        <f t="shared" si="14"/>
        <v>169453</v>
      </c>
      <c r="BP28" s="58">
        <f t="shared" si="15"/>
        <v>153736</v>
      </c>
      <c r="BQ28" s="58">
        <f t="shared" si="16"/>
        <v>125766</v>
      </c>
      <c r="BR28" s="58">
        <f t="shared" si="17"/>
        <v>107635</v>
      </c>
      <c r="BS28" s="58">
        <f t="shared" si="18"/>
        <v>82236</v>
      </c>
      <c r="BT28" s="58">
        <f t="shared" si="19"/>
        <v>63157</v>
      </c>
      <c r="BU28" s="58">
        <f t="shared" si="20"/>
        <v>45985</v>
      </c>
      <c r="BV28" s="58">
        <f t="shared" si="21"/>
        <v>32252</v>
      </c>
      <c r="BW28" s="58">
        <f t="shared" si="22"/>
        <v>30334</v>
      </c>
      <c r="BX28" s="58">
        <f t="shared" si="23"/>
        <v>1942</v>
      </c>
      <c r="BY28" s="58">
        <v>2068307</v>
      </c>
      <c r="BZ28" s="58">
        <v>1071176</v>
      </c>
      <c r="CA28" s="58">
        <v>997131</v>
      </c>
      <c r="CB28" s="58">
        <v>14265</v>
      </c>
      <c r="CC28" s="58">
        <v>21403</v>
      </c>
      <c r="CD28" s="58">
        <v>126383</v>
      </c>
      <c r="CE28" s="58">
        <v>129082</v>
      </c>
      <c r="CF28" s="58">
        <v>114399</v>
      </c>
      <c r="CG28" s="58">
        <v>106665</v>
      </c>
      <c r="CH28" s="58">
        <v>97958</v>
      </c>
      <c r="CI28" s="58">
        <v>95277</v>
      </c>
      <c r="CJ28" s="58">
        <v>83598</v>
      </c>
      <c r="CK28" s="58">
        <v>73081</v>
      </c>
      <c r="CL28" s="58">
        <v>60663</v>
      </c>
      <c r="CM28" s="58">
        <v>46544</v>
      </c>
      <c r="CN28" s="58">
        <v>36125</v>
      </c>
      <c r="CO28" s="58">
        <v>26424</v>
      </c>
      <c r="CP28" s="58">
        <v>19312</v>
      </c>
      <c r="CQ28" s="58">
        <v>19997</v>
      </c>
      <c r="CR28" s="58">
        <v>1071176</v>
      </c>
      <c r="CS28" s="58">
        <v>14612</v>
      </c>
      <c r="CT28" s="58">
        <v>21030</v>
      </c>
      <c r="CU28" s="58">
        <v>125354</v>
      </c>
      <c r="CV28" s="58">
        <v>125938</v>
      </c>
      <c r="CW28" s="58">
        <v>108458</v>
      </c>
      <c r="CX28" s="58">
        <v>97785</v>
      </c>
      <c r="CY28" s="58">
        <v>90324</v>
      </c>
      <c r="CZ28" s="58">
        <v>87333</v>
      </c>
      <c r="DA28" s="58">
        <v>75030</v>
      </c>
      <c r="DB28" s="58">
        <v>64930</v>
      </c>
      <c r="DC28" s="58">
        <v>54571</v>
      </c>
      <c r="DD28" s="58">
        <v>42293</v>
      </c>
      <c r="DE28" s="58">
        <v>32952</v>
      </c>
      <c r="DF28" s="58">
        <v>23776</v>
      </c>
      <c r="DG28" s="58">
        <v>16680</v>
      </c>
      <c r="DH28" s="58">
        <v>16065</v>
      </c>
      <c r="DI28" s="58">
        <v>997131</v>
      </c>
      <c r="DJ28" s="58">
        <v>28877</v>
      </c>
      <c r="DK28" s="58">
        <v>42433</v>
      </c>
      <c r="DL28" s="58">
        <v>251737</v>
      </c>
      <c r="DM28" s="58">
        <v>255020</v>
      </c>
      <c r="DN28" s="58">
        <v>222857</v>
      </c>
      <c r="DO28" s="58">
        <v>204450</v>
      </c>
      <c r="DP28" s="58">
        <v>188282</v>
      </c>
      <c r="DQ28" s="58">
        <v>182610</v>
      </c>
      <c r="DR28" s="58">
        <v>158628</v>
      </c>
      <c r="DS28" s="58">
        <v>138011</v>
      </c>
      <c r="DT28" s="58">
        <v>115234</v>
      </c>
      <c r="DU28" s="58">
        <v>88837</v>
      </c>
      <c r="DV28" s="58">
        <v>69077</v>
      </c>
      <c r="DW28" s="58">
        <v>50200</v>
      </c>
      <c r="DX28" s="58">
        <v>35992</v>
      </c>
      <c r="DY28" s="58">
        <v>36062</v>
      </c>
      <c r="DZ28" s="139">
        <v>2068307</v>
      </c>
      <c r="EA28" s="18">
        <f t="shared" si="24"/>
        <v>15</v>
      </c>
      <c r="EB28" s="18">
        <f t="shared" si="25"/>
        <v>14</v>
      </c>
      <c r="EC28" s="63">
        <f t="shared" si="26"/>
        <v>21</v>
      </c>
      <c r="ED28" s="18" t="s">
        <v>376</v>
      </c>
    </row>
    <row r="29" spans="1:134" ht="40.799999999999997" x14ac:dyDescent="0.2">
      <c r="A29" s="18">
        <v>25</v>
      </c>
      <c r="B29" s="18" t="s">
        <v>24</v>
      </c>
      <c r="C29" s="59">
        <v>57365.4</v>
      </c>
      <c r="D29" s="57">
        <f t="shared" si="1"/>
        <v>2.9258402965959709</v>
      </c>
      <c r="E29" s="18">
        <v>18</v>
      </c>
      <c r="F29" s="58">
        <v>3026943</v>
      </c>
      <c r="G29" s="64">
        <f t="shared" si="2"/>
        <v>2.4020683602644099E-2</v>
      </c>
      <c r="H29" s="58">
        <v>1532128</v>
      </c>
      <c r="I29" s="58">
        <v>1494815</v>
      </c>
      <c r="J29" s="60">
        <v>24.272376453700002</v>
      </c>
      <c r="K29" s="58">
        <f t="shared" si="3"/>
        <v>734710.99999892036</v>
      </c>
      <c r="L29" s="58">
        <f t="shared" si="4"/>
        <v>2292232.0000010794</v>
      </c>
      <c r="M29" s="60">
        <v>52.766038732600002</v>
      </c>
      <c r="N29" s="60">
        <v>75.260000000000005</v>
      </c>
      <c r="O29" s="60">
        <v>78.42</v>
      </c>
      <c r="P29" s="60">
        <v>72.260000000000005</v>
      </c>
      <c r="Q29" s="18">
        <v>30</v>
      </c>
      <c r="R29" s="18">
        <v>30</v>
      </c>
      <c r="S29" s="18">
        <v>29</v>
      </c>
      <c r="T29" s="58">
        <v>116191</v>
      </c>
      <c r="U29" s="58">
        <v>122685</v>
      </c>
      <c r="V29" s="58">
        <v>127661</v>
      </c>
      <c r="W29" s="58">
        <v>129030</v>
      </c>
      <c r="X29" s="58">
        <v>129014</v>
      </c>
      <c r="Y29" s="58">
        <v>118849</v>
      </c>
      <c r="Z29" s="58">
        <v>110211</v>
      </c>
      <c r="AA29" s="58">
        <v>104776</v>
      </c>
      <c r="AB29" s="58">
        <v>104332</v>
      </c>
      <c r="AC29" s="58">
        <v>98203</v>
      </c>
      <c r="AD29" s="58">
        <v>88822</v>
      </c>
      <c r="AE29" s="58">
        <v>74744</v>
      </c>
      <c r="AF29" s="58">
        <v>64690</v>
      </c>
      <c r="AG29" s="58">
        <v>49892</v>
      </c>
      <c r="AH29" s="58">
        <v>36570</v>
      </c>
      <c r="AI29" s="58">
        <v>25147</v>
      </c>
      <c r="AJ29" s="58">
        <v>16506</v>
      </c>
      <c r="AK29" s="58">
        <v>13688</v>
      </c>
      <c r="AL29" s="58">
        <v>1117</v>
      </c>
      <c r="AM29" s="58">
        <v>120045</v>
      </c>
      <c r="AN29" s="58">
        <v>127811</v>
      </c>
      <c r="AO29" s="58">
        <v>132511</v>
      </c>
      <c r="AP29" s="58">
        <v>132551</v>
      </c>
      <c r="AQ29" s="58">
        <v>127976</v>
      </c>
      <c r="AR29" s="58">
        <v>113467</v>
      </c>
      <c r="AS29" s="58">
        <v>105280</v>
      </c>
      <c r="AT29" s="58">
        <v>100764</v>
      </c>
      <c r="AU29" s="58">
        <v>99977</v>
      </c>
      <c r="AV29" s="58">
        <v>94386</v>
      </c>
      <c r="AW29" s="58">
        <v>83272</v>
      </c>
      <c r="AX29" s="58">
        <v>68641</v>
      </c>
      <c r="AY29" s="58">
        <v>58938</v>
      </c>
      <c r="AZ29" s="58">
        <v>45164</v>
      </c>
      <c r="BA29" s="58">
        <v>34107</v>
      </c>
      <c r="BB29" s="58">
        <v>23904</v>
      </c>
      <c r="BC29" s="58">
        <v>14451</v>
      </c>
      <c r="BD29" s="58">
        <v>10462</v>
      </c>
      <c r="BE29" s="58">
        <v>1108</v>
      </c>
      <c r="BF29" s="58">
        <f t="shared" si="5"/>
        <v>236236</v>
      </c>
      <c r="BG29" s="58">
        <f t="shared" si="6"/>
        <v>250496</v>
      </c>
      <c r="BH29" s="58">
        <f t="shared" si="7"/>
        <v>260172</v>
      </c>
      <c r="BI29" s="58">
        <f t="shared" si="8"/>
        <v>261581</v>
      </c>
      <c r="BJ29" s="58">
        <f t="shared" si="9"/>
        <v>256990</v>
      </c>
      <c r="BK29" s="58">
        <f t="shared" si="10"/>
        <v>232316</v>
      </c>
      <c r="BL29" s="58">
        <f t="shared" si="11"/>
        <v>215491</v>
      </c>
      <c r="BM29" s="58">
        <f t="shared" si="12"/>
        <v>205540</v>
      </c>
      <c r="BN29" s="58">
        <f t="shared" si="13"/>
        <v>204309</v>
      </c>
      <c r="BO29" s="58">
        <f t="shared" si="14"/>
        <v>192589</v>
      </c>
      <c r="BP29" s="58">
        <f t="shared" si="15"/>
        <v>172094</v>
      </c>
      <c r="BQ29" s="58">
        <f t="shared" si="16"/>
        <v>143385</v>
      </c>
      <c r="BR29" s="58">
        <f t="shared" si="17"/>
        <v>123628</v>
      </c>
      <c r="BS29" s="58">
        <f t="shared" si="18"/>
        <v>95056</v>
      </c>
      <c r="BT29" s="58">
        <f t="shared" si="19"/>
        <v>70677</v>
      </c>
      <c r="BU29" s="58">
        <f t="shared" si="20"/>
        <v>49051</v>
      </c>
      <c r="BV29" s="58">
        <f t="shared" si="21"/>
        <v>30957</v>
      </c>
      <c r="BW29" s="58">
        <f t="shared" si="22"/>
        <v>24150</v>
      </c>
      <c r="BX29" s="58">
        <f t="shared" si="23"/>
        <v>2225</v>
      </c>
      <c r="BY29" s="58">
        <v>2252132</v>
      </c>
      <c r="BZ29" s="58">
        <v>1153207</v>
      </c>
      <c r="CA29" s="58">
        <v>1098925</v>
      </c>
      <c r="CB29" s="58">
        <v>17261</v>
      </c>
      <c r="CC29" s="58">
        <v>23984</v>
      </c>
      <c r="CD29" s="58">
        <v>133029</v>
      </c>
      <c r="CE29" s="58">
        <v>132034</v>
      </c>
      <c r="CF29" s="58">
        <v>116857</v>
      </c>
      <c r="CG29" s="58">
        <v>108741</v>
      </c>
      <c r="CH29" s="58">
        <v>105939</v>
      </c>
      <c r="CI29" s="58">
        <v>107285</v>
      </c>
      <c r="CJ29" s="58">
        <v>92951</v>
      </c>
      <c r="CK29" s="58">
        <v>82167</v>
      </c>
      <c r="CL29" s="58">
        <v>70402</v>
      </c>
      <c r="CM29" s="58">
        <v>55039</v>
      </c>
      <c r="CN29" s="58">
        <v>41264</v>
      </c>
      <c r="CO29" s="58">
        <v>29050</v>
      </c>
      <c r="CP29" s="58">
        <v>19729</v>
      </c>
      <c r="CQ29" s="58">
        <v>17475</v>
      </c>
      <c r="CR29" s="58">
        <v>1153207</v>
      </c>
      <c r="CS29" s="58">
        <v>16664</v>
      </c>
      <c r="CT29" s="58">
        <v>23253</v>
      </c>
      <c r="CU29" s="58">
        <v>132695</v>
      </c>
      <c r="CV29" s="58">
        <v>131623</v>
      </c>
      <c r="CW29" s="58">
        <v>115063</v>
      </c>
      <c r="CX29" s="58">
        <v>105528</v>
      </c>
      <c r="CY29" s="58">
        <v>102172</v>
      </c>
      <c r="CZ29" s="58">
        <v>103130</v>
      </c>
      <c r="DA29" s="58">
        <v>87708</v>
      </c>
      <c r="DB29" s="58">
        <v>74642</v>
      </c>
      <c r="DC29" s="58">
        <v>62768</v>
      </c>
      <c r="DD29" s="58">
        <v>49802</v>
      </c>
      <c r="DE29" s="58">
        <v>37619</v>
      </c>
      <c r="DF29" s="58">
        <v>26245</v>
      </c>
      <c r="DG29" s="58">
        <v>16961</v>
      </c>
      <c r="DH29" s="58">
        <v>13052</v>
      </c>
      <c r="DI29" s="58">
        <v>1098925</v>
      </c>
      <c r="DJ29" s="58">
        <v>33925</v>
      </c>
      <c r="DK29" s="58">
        <v>47237</v>
      </c>
      <c r="DL29" s="58">
        <v>265724</v>
      </c>
      <c r="DM29" s="58">
        <v>263657</v>
      </c>
      <c r="DN29" s="58">
        <v>231920</v>
      </c>
      <c r="DO29" s="58">
        <v>214269</v>
      </c>
      <c r="DP29" s="58">
        <v>208111</v>
      </c>
      <c r="DQ29" s="58">
        <v>210415</v>
      </c>
      <c r="DR29" s="58">
        <v>180659</v>
      </c>
      <c r="DS29" s="58">
        <v>156809</v>
      </c>
      <c r="DT29" s="58">
        <v>133170</v>
      </c>
      <c r="DU29" s="58">
        <v>104841</v>
      </c>
      <c r="DV29" s="58">
        <v>78883</v>
      </c>
      <c r="DW29" s="58">
        <v>55295</v>
      </c>
      <c r="DX29" s="58">
        <v>36690</v>
      </c>
      <c r="DY29" s="58">
        <v>30527</v>
      </c>
      <c r="DZ29" s="139">
        <v>2252132</v>
      </c>
      <c r="EA29" s="18">
        <f t="shared" si="24"/>
        <v>18</v>
      </c>
      <c r="EB29" s="18">
        <f t="shared" si="25"/>
        <v>23</v>
      </c>
      <c r="EC29" s="63">
        <f t="shared" si="26"/>
        <v>19</v>
      </c>
      <c r="ED29" s="18" t="s">
        <v>377</v>
      </c>
    </row>
    <row r="30" spans="1:134" ht="40.799999999999997" x14ac:dyDescent="0.2">
      <c r="A30" s="18">
        <v>26</v>
      </c>
      <c r="B30" s="18" t="s">
        <v>25</v>
      </c>
      <c r="C30" s="59">
        <v>179355</v>
      </c>
      <c r="D30" s="57">
        <f t="shared" si="1"/>
        <v>9.1477456166255333</v>
      </c>
      <c r="E30" s="18">
        <v>72</v>
      </c>
      <c r="F30" s="58">
        <v>2944840</v>
      </c>
      <c r="G30" s="64">
        <f t="shared" si="2"/>
        <v>2.336914500881267E-2</v>
      </c>
      <c r="H30" s="58">
        <v>1472643</v>
      </c>
      <c r="I30" s="58">
        <v>1472197</v>
      </c>
      <c r="J30" s="60">
        <v>12.196621887799999</v>
      </c>
      <c r="K30" s="58">
        <f t="shared" si="3"/>
        <v>359171.00000068953</v>
      </c>
      <c r="L30" s="58">
        <f t="shared" si="4"/>
        <v>2585668.9999993104</v>
      </c>
      <c r="M30" s="60">
        <v>16.419081949799999</v>
      </c>
      <c r="N30" s="60">
        <v>75.52</v>
      </c>
      <c r="O30" s="60">
        <v>78.709999999999994</v>
      </c>
      <c r="P30" s="60">
        <v>72.52</v>
      </c>
      <c r="Q30" s="18">
        <v>30</v>
      </c>
      <c r="R30" s="18">
        <v>30</v>
      </c>
      <c r="S30" s="18">
        <v>29</v>
      </c>
      <c r="T30" s="58">
        <v>107741</v>
      </c>
      <c r="U30" s="58">
        <v>121509</v>
      </c>
      <c r="V30" s="58">
        <v>126600</v>
      </c>
      <c r="W30" s="58">
        <v>124961</v>
      </c>
      <c r="X30" s="58">
        <v>121417</v>
      </c>
      <c r="Y30" s="58">
        <v>113744</v>
      </c>
      <c r="Z30" s="58">
        <v>107549</v>
      </c>
      <c r="AA30" s="58">
        <v>103161</v>
      </c>
      <c r="AB30" s="58">
        <v>102318</v>
      </c>
      <c r="AC30" s="58">
        <v>95907</v>
      </c>
      <c r="AD30" s="58">
        <v>86583</v>
      </c>
      <c r="AE30" s="58">
        <v>71657</v>
      </c>
      <c r="AF30" s="58">
        <v>62762</v>
      </c>
      <c r="AG30" s="58">
        <v>45350</v>
      </c>
      <c r="AH30" s="58">
        <v>32496</v>
      </c>
      <c r="AI30" s="58">
        <v>21842</v>
      </c>
      <c r="AJ30" s="58">
        <v>14305</v>
      </c>
      <c r="AK30" s="58">
        <v>11380</v>
      </c>
      <c r="AL30" s="58">
        <v>1361</v>
      </c>
      <c r="AM30" s="58">
        <v>110604</v>
      </c>
      <c r="AN30" s="58">
        <v>125202</v>
      </c>
      <c r="AO30" s="58">
        <v>132191</v>
      </c>
      <c r="AP30" s="58">
        <v>130755</v>
      </c>
      <c r="AQ30" s="58">
        <v>125586</v>
      </c>
      <c r="AR30" s="58">
        <v>114152</v>
      </c>
      <c r="AS30" s="58">
        <v>107455</v>
      </c>
      <c r="AT30" s="58">
        <v>103839</v>
      </c>
      <c r="AU30" s="58">
        <v>101577</v>
      </c>
      <c r="AV30" s="58">
        <v>96274</v>
      </c>
      <c r="AW30" s="58">
        <v>84122</v>
      </c>
      <c r="AX30" s="58">
        <v>68807</v>
      </c>
      <c r="AY30" s="58">
        <v>58841</v>
      </c>
      <c r="AZ30" s="58">
        <v>42358</v>
      </c>
      <c r="BA30" s="58">
        <v>29386</v>
      </c>
      <c r="BB30" s="58">
        <v>19677</v>
      </c>
      <c r="BC30" s="58">
        <v>11839</v>
      </c>
      <c r="BD30" s="58">
        <v>8168</v>
      </c>
      <c r="BE30" s="58">
        <v>1364</v>
      </c>
      <c r="BF30" s="58">
        <f t="shared" si="5"/>
        <v>218345</v>
      </c>
      <c r="BG30" s="58">
        <f t="shared" si="6"/>
        <v>246711</v>
      </c>
      <c r="BH30" s="58">
        <f t="shared" si="7"/>
        <v>258791</v>
      </c>
      <c r="BI30" s="58">
        <f t="shared" si="8"/>
        <v>255716</v>
      </c>
      <c r="BJ30" s="58">
        <f t="shared" si="9"/>
        <v>247003</v>
      </c>
      <c r="BK30" s="58">
        <f t="shared" si="10"/>
        <v>227896</v>
      </c>
      <c r="BL30" s="58">
        <f t="shared" si="11"/>
        <v>215004</v>
      </c>
      <c r="BM30" s="58">
        <f t="shared" si="12"/>
        <v>207000</v>
      </c>
      <c r="BN30" s="58">
        <f t="shared" si="13"/>
        <v>203895</v>
      </c>
      <c r="BO30" s="58">
        <f t="shared" si="14"/>
        <v>192181</v>
      </c>
      <c r="BP30" s="58">
        <f t="shared" si="15"/>
        <v>170705</v>
      </c>
      <c r="BQ30" s="58">
        <f t="shared" si="16"/>
        <v>140464</v>
      </c>
      <c r="BR30" s="58">
        <f t="shared" si="17"/>
        <v>121603</v>
      </c>
      <c r="BS30" s="58">
        <f t="shared" si="18"/>
        <v>87708</v>
      </c>
      <c r="BT30" s="58">
        <f t="shared" si="19"/>
        <v>61882</v>
      </c>
      <c r="BU30" s="58">
        <f t="shared" si="20"/>
        <v>41519</v>
      </c>
      <c r="BV30" s="58">
        <f t="shared" si="21"/>
        <v>26144</v>
      </c>
      <c r="BW30" s="58">
        <f t="shared" si="22"/>
        <v>19548</v>
      </c>
      <c r="BX30" s="58">
        <f t="shared" si="23"/>
        <v>2725</v>
      </c>
      <c r="BY30" s="58">
        <v>2187666</v>
      </c>
      <c r="BZ30" s="58">
        <v>1102719</v>
      </c>
      <c r="CA30" s="58">
        <v>1084947</v>
      </c>
      <c r="CB30" s="58">
        <v>16949</v>
      </c>
      <c r="CC30" s="58">
        <v>22455</v>
      </c>
      <c r="CD30" s="58">
        <v>127397</v>
      </c>
      <c r="CE30" s="58">
        <v>125424</v>
      </c>
      <c r="CF30" s="58">
        <v>112946</v>
      </c>
      <c r="CG30" s="58">
        <v>107724</v>
      </c>
      <c r="CH30" s="58">
        <v>104997</v>
      </c>
      <c r="CI30" s="58">
        <v>104908</v>
      </c>
      <c r="CJ30" s="58">
        <v>91363</v>
      </c>
      <c r="CK30" s="58">
        <v>79753</v>
      </c>
      <c r="CL30" s="58">
        <v>67891</v>
      </c>
      <c r="CM30" s="58">
        <v>51156</v>
      </c>
      <c r="CN30" s="58">
        <v>36402</v>
      </c>
      <c r="CO30" s="58">
        <v>24807</v>
      </c>
      <c r="CP30" s="58">
        <v>15903</v>
      </c>
      <c r="CQ30" s="58">
        <v>12644</v>
      </c>
      <c r="CR30" s="58">
        <v>1102719</v>
      </c>
      <c r="CS30" s="58">
        <v>16406</v>
      </c>
      <c r="CT30" s="58">
        <v>22617</v>
      </c>
      <c r="CU30" s="58">
        <v>129898</v>
      </c>
      <c r="CV30" s="58">
        <v>129124</v>
      </c>
      <c r="CW30" s="58">
        <v>116208</v>
      </c>
      <c r="CX30" s="58">
        <v>109847</v>
      </c>
      <c r="CY30" s="58">
        <v>105319</v>
      </c>
      <c r="CZ30" s="58">
        <v>105154</v>
      </c>
      <c r="DA30" s="58">
        <v>89417</v>
      </c>
      <c r="DB30" s="58">
        <v>75714</v>
      </c>
      <c r="DC30" s="58">
        <v>62728</v>
      </c>
      <c r="DD30" s="58">
        <v>46962</v>
      </c>
      <c r="DE30" s="58">
        <v>32652</v>
      </c>
      <c r="DF30" s="58">
        <v>21174</v>
      </c>
      <c r="DG30" s="58">
        <v>12857</v>
      </c>
      <c r="DH30" s="58">
        <v>8870</v>
      </c>
      <c r="DI30" s="58">
        <v>1084947</v>
      </c>
      <c r="DJ30" s="58">
        <v>33355</v>
      </c>
      <c r="DK30" s="58">
        <v>45072</v>
      </c>
      <c r="DL30" s="58">
        <v>257295</v>
      </c>
      <c r="DM30" s="58">
        <v>254548</v>
      </c>
      <c r="DN30" s="58">
        <v>229154</v>
      </c>
      <c r="DO30" s="58">
        <v>217571</v>
      </c>
      <c r="DP30" s="58">
        <v>210316</v>
      </c>
      <c r="DQ30" s="58">
        <v>210062</v>
      </c>
      <c r="DR30" s="58">
        <v>180780</v>
      </c>
      <c r="DS30" s="58">
        <v>155467</v>
      </c>
      <c r="DT30" s="58">
        <v>130619</v>
      </c>
      <c r="DU30" s="58">
        <v>98118</v>
      </c>
      <c r="DV30" s="58">
        <v>69054</v>
      </c>
      <c r="DW30" s="58">
        <v>45981</v>
      </c>
      <c r="DX30" s="58">
        <v>28760</v>
      </c>
      <c r="DY30" s="58">
        <v>21514</v>
      </c>
      <c r="DZ30" s="139">
        <v>2187666</v>
      </c>
      <c r="EA30" s="18">
        <f t="shared" si="24"/>
        <v>2</v>
      </c>
      <c r="EB30" s="18">
        <f t="shared" si="25"/>
        <v>11</v>
      </c>
      <c r="EC30" s="63">
        <f t="shared" si="26"/>
        <v>28</v>
      </c>
      <c r="ED30" s="18" t="s">
        <v>378</v>
      </c>
    </row>
    <row r="31" spans="1:134" ht="40.799999999999997" x14ac:dyDescent="0.2">
      <c r="A31" s="18">
        <v>27</v>
      </c>
      <c r="B31" s="18" t="s">
        <v>26</v>
      </c>
      <c r="C31" s="59">
        <v>24730.9</v>
      </c>
      <c r="D31" s="57">
        <f t="shared" si="1"/>
        <v>1.2613642333372608</v>
      </c>
      <c r="E31" s="18">
        <v>17</v>
      </c>
      <c r="F31" s="58">
        <v>2402598</v>
      </c>
      <c r="G31" s="64">
        <f t="shared" si="2"/>
        <v>1.9066116006262922E-2</v>
      </c>
      <c r="H31" s="58">
        <v>1228927</v>
      </c>
      <c r="I31" s="58">
        <v>1173671</v>
      </c>
      <c r="J31" s="60">
        <v>41.458745907599997</v>
      </c>
      <c r="K31" s="58">
        <f t="shared" si="3"/>
        <v>996087.0000010794</v>
      </c>
      <c r="L31" s="58">
        <f t="shared" si="4"/>
        <v>1406510.9999989206</v>
      </c>
      <c r="M31" s="60">
        <v>97.149527681600006</v>
      </c>
      <c r="N31" s="60">
        <v>75.19</v>
      </c>
      <c r="O31" s="60">
        <v>78.349999999999994</v>
      </c>
      <c r="P31" s="60">
        <v>72.16</v>
      </c>
      <c r="Q31" s="18">
        <v>29</v>
      </c>
      <c r="R31" s="18">
        <v>29</v>
      </c>
      <c r="S31" s="18">
        <v>28</v>
      </c>
      <c r="T31" s="58">
        <v>102208</v>
      </c>
      <c r="U31" s="58">
        <v>110352</v>
      </c>
      <c r="V31" s="58">
        <v>109206</v>
      </c>
      <c r="W31" s="58">
        <v>103371</v>
      </c>
      <c r="X31" s="58">
        <v>96630</v>
      </c>
      <c r="Y31" s="58">
        <v>94899</v>
      </c>
      <c r="Z31" s="58">
        <v>95760</v>
      </c>
      <c r="AA31" s="58">
        <v>95245</v>
      </c>
      <c r="AB31" s="58">
        <v>88479</v>
      </c>
      <c r="AC31" s="58">
        <v>77074</v>
      </c>
      <c r="AD31" s="58">
        <v>67733</v>
      </c>
      <c r="AE31" s="58">
        <v>54741</v>
      </c>
      <c r="AF31" s="58">
        <v>43470</v>
      </c>
      <c r="AG31" s="58">
        <v>33227</v>
      </c>
      <c r="AH31" s="58">
        <v>21524</v>
      </c>
      <c r="AI31" s="58">
        <v>15152</v>
      </c>
      <c r="AJ31" s="58">
        <v>9722</v>
      </c>
      <c r="AK31" s="58">
        <v>9690</v>
      </c>
      <c r="AL31" s="58">
        <v>444</v>
      </c>
      <c r="AM31" s="58">
        <v>104669</v>
      </c>
      <c r="AN31" s="58">
        <v>113706</v>
      </c>
      <c r="AO31" s="58">
        <v>113492</v>
      </c>
      <c r="AP31" s="58">
        <v>105289</v>
      </c>
      <c r="AQ31" s="58">
        <v>91925</v>
      </c>
      <c r="AR31" s="58">
        <v>85425</v>
      </c>
      <c r="AS31" s="58">
        <v>85667</v>
      </c>
      <c r="AT31" s="58">
        <v>84231</v>
      </c>
      <c r="AU31" s="58">
        <v>79123</v>
      </c>
      <c r="AV31" s="58">
        <v>70224</v>
      </c>
      <c r="AW31" s="58">
        <v>62842</v>
      </c>
      <c r="AX31" s="58">
        <v>51906</v>
      </c>
      <c r="AY31" s="58">
        <v>41416</v>
      </c>
      <c r="AZ31" s="58">
        <v>31582</v>
      </c>
      <c r="BA31" s="58">
        <v>20321</v>
      </c>
      <c r="BB31" s="58">
        <v>14369</v>
      </c>
      <c r="BC31" s="58">
        <v>8952</v>
      </c>
      <c r="BD31" s="58">
        <v>8100</v>
      </c>
      <c r="BE31" s="58">
        <v>432</v>
      </c>
      <c r="BF31" s="58">
        <f t="shared" si="5"/>
        <v>206877</v>
      </c>
      <c r="BG31" s="58">
        <f t="shared" si="6"/>
        <v>224058</v>
      </c>
      <c r="BH31" s="58">
        <f t="shared" si="7"/>
        <v>222698</v>
      </c>
      <c r="BI31" s="58">
        <f t="shared" si="8"/>
        <v>208660</v>
      </c>
      <c r="BJ31" s="58">
        <f t="shared" si="9"/>
        <v>188555</v>
      </c>
      <c r="BK31" s="58">
        <f t="shared" si="10"/>
        <v>180324</v>
      </c>
      <c r="BL31" s="58">
        <f t="shared" si="11"/>
        <v>181427</v>
      </c>
      <c r="BM31" s="58">
        <f t="shared" si="12"/>
        <v>179476</v>
      </c>
      <c r="BN31" s="58">
        <f t="shared" si="13"/>
        <v>167602</v>
      </c>
      <c r="BO31" s="58">
        <f t="shared" si="14"/>
        <v>147298</v>
      </c>
      <c r="BP31" s="58">
        <f t="shared" si="15"/>
        <v>130575</v>
      </c>
      <c r="BQ31" s="58">
        <f t="shared" si="16"/>
        <v>106647</v>
      </c>
      <c r="BR31" s="58">
        <f t="shared" si="17"/>
        <v>84886</v>
      </c>
      <c r="BS31" s="58">
        <f t="shared" si="18"/>
        <v>64809</v>
      </c>
      <c r="BT31" s="58">
        <f t="shared" si="19"/>
        <v>41845</v>
      </c>
      <c r="BU31" s="58">
        <f t="shared" si="20"/>
        <v>29521</v>
      </c>
      <c r="BV31" s="58">
        <f t="shared" si="21"/>
        <v>18674</v>
      </c>
      <c r="BW31" s="58">
        <f t="shared" si="22"/>
        <v>17790</v>
      </c>
      <c r="BX31" s="58">
        <f t="shared" si="23"/>
        <v>876</v>
      </c>
      <c r="BY31" s="58">
        <v>1752768</v>
      </c>
      <c r="BZ31" s="58">
        <v>909894</v>
      </c>
      <c r="CA31" s="58">
        <v>842874</v>
      </c>
      <c r="CB31" s="58">
        <v>14956</v>
      </c>
      <c r="CC31" s="58">
        <v>19825</v>
      </c>
      <c r="CD31" s="58">
        <v>105166</v>
      </c>
      <c r="CE31" s="58">
        <v>106590</v>
      </c>
      <c r="CF31" s="58">
        <v>102204</v>
      </c>
      <c r="CG31" s="58">
        <v>100941</v>
      </c>
      <c r="CH31" s="58">
        <v>93899</v>
      </c>
      <c r="CI31" s="58">
        <v>86046</v>
      </c>
      <c r="CJ31" s="58">
        <v>71580</v>
      </c>
      <c r="CK31" s="58">
        <v>61132</v>
      </c>
      <c r="CL31" s="58">
        <v>48115</v>
      </c>
      <c r="CM31" s="58">
        <v>35706</v>
      </c>
      <c r="CN31" s="58">
        <v>24857</v>
      </c>
      <c r="CO31" s="58">
        <v>16499</v>
      </c>
      <c r="CP31" s="58">
        <v>11630</v>
      </c>
      <c r="CQ31" s="58">
        <v>10748</v>
      </c>
      <c r="CR31" s="58">
        <v>909894</v>
      </c>
      <c r="CS31" s="58">
        <v>14953</v>
      </c>
      <c r="CT31" s="58">
        <v>19855</v>
      </c>
      <c r="CU31" s="58">
        <v>103230</v>
      </c>
      <c r="CV31" s="58">
        <v>101384</v>
      </c>
      <c r="CW31" s="58">
        <v>94000</v>
      </c>
      <c r="CX31" s="58">
        <v>90612</v>
      </c>
      <c r="CY31" s="58">
        <v>83813</v>
      </c>
      <c r="CZ31" s="58">
        <v>77219</v>
      </c>
      <c r="DA31" s="58">
        <v>65111</v>
      </c>
      <c r="DB31" s="58">
        <v>57009</v>
      </c>
      <c r="DC31" s="58">
        <v>45078</v>
      </c>
      <c r="DD31" s="58">
        <v>33714</v>
      </c>
      <c r="DE31" s="58">
        <v>23280</v>
      </c>
      <c r="DF31" s="58">
        <v>14829</v>
      </c>
      <c r="DG31" s="58">
        <v>10269</v>
      </c>
      <c r="DH31" s="58">
        <v>8518</v>
      </c>
      <c r="DI31" s="58">
        <v>842874</v>
      </c>
      <c r="DJ31" s="58">
        <v>29909</v>
      </c>
      <c r="DK31" s="58">
        <v>39680</v>
      </c>
      <c r="DL31" s="58">
        <v>208396</v>
      </c>
      <c r="DM31" s="58">
        <v>207974</v>
      </c>
      <c r="DN31" s="58">
        <v>196204</v>
      </c>
      <c r="DO31" s="58">
        <v>191553</v>
      </c>
      <c r="DP31" s="58">
        <v>177712</v>
      </c>
      <c r="DQ31" s="58">
        <v>163265</v>
      </c>
      <c r="DR31" s="58">
        <v>136691</v>
      </c>
      <c r="DS31" s="58">
        <v>118141</v>
      </c>
      <c r="DT31" s="58">
        <v>93193</v>
      </c>
      <c r="DU31" s="58">
        <v>69420</v>
      </c>
      <c r="DV31" s="58">
        <v>48137</v>
      </c>
      <c r="DW31" s="58">
        <v>31328</v>
      </c>
      <c r="DX31" s="58">
        <v>21899</v>
      </c>
      <c r="DY31" s="58">
        <v>19266</v>
      </c>
      <c r="DZ31" s="139">
        <v>1752768</v>
      </c>
      <c r="EA31" s="18">
        <f t="shared" si="24"/>
        <v>24</v>
      </c>
      <c r="EB31" s="18">
        <f t="shared" si="25"/>
        <v>25</v>
      </c>
      <c r="EC31" s="63">
        <f t="shared" si="26"/>
        <v>13</v>
      </c>
      <c r="ED31" s="18" t="s">
        <v>379</v>
      </c>
    </row>
    <row r="32" spans="1:134" ht="40.799999999999997" x14ac:dyDescent="0.2">
      <c r="A32" s="18">
        <v>28</v>
      </c>
      <c r="B32" s="18" t="s">
        <v>27</v>
      </c>
      <c r="C32" s="59">
        <v>80249.3</v>
      </c>
      <c r="D32" s="57">
        <f t="shared" si="1"/>
        <v>4.0930009328553281</v>
      </c>
      <c r="E32" s="18">
        <v>43</v>
      </c>
      <c r="F32" s="58">
        <v>3527735</v>
      </c>
      <c r="G32" s="64">
        <f t="shared" si="2"/>
        <v>2.7994780961839612E-2</v>
      </c>
      <c r="H32" s="58">
        <v>1791595</v>
      </c>
      <c r="I32" s="58">
        <v>1736140</v>
      </c>
      <c r="J32" s="60">
        <v>9.7484363195999997</v>
      </c>
      <c r="K32" s="58">
        <f t="shared" si="3"/>
        <v>343898.99999924103</v>
      </c>
      <c r="L32" s="58">
        <f t="shared" si="4"/>
        <v>3183836.000000759</v>
      </c>
      <c r="M32" s="60">
        <v>43.959692899799997</v>
      </c>
      <c r="N32" s="60">
        <v>75.37</v>
      </c>
      <c r="O32" s="60">
        <v>78.510000000000005</v>
      </c>
      <c r="P32" s="60">
        <v>72.34</v>
      </c>
      <c r="Q32" s="18">
        <v>30</v>
      </c>
      <c r="R32" s="18">
        <v>31</v>
      </c>
      <c r="S32" s="18">
        <v>30</v>
      </c>
      <c r="T32" s="58">
        <v>134164</v>
      </c>
      <c r="U32" s="58">
        <v>145029</v>
      </c>
      <c r="V32" s="58">
        <v>149987</v>
      </c>
      <c r="W32" s="58">
        <v>145715</v>
      </c>
      <c r="X32" s="58">
        <v>141947</v>
      </c>
      <c r="Y32" s="58">
        <v>136168</v>
      </c>
      <c r="Z32" s="58">
        <v>131557</v>
      </c>
      <c r="AA32" s="58">
        <v>131959</v>
      </c>
      <c r="AB32" s="58">
        <v>127998</v>
      </c>
      <c r="AC32" s="58">
        <v>120704</v>
      </c>
      <c r="AD32" s="58">
        <v>108853</v>
      </c>
      <c r="AE32" s="58">
        <v>86568</v>
      </c>
      <c r="AF32" s="58">
        <v>73125</v>
      </c>
      <c r="AG32" s="58">
        <v>52813</v>
      </c>
      <c r="AH32" s="58">
        <v>39661</v>
      </c>
      <c r="AI32" s="58">
        <v>27428</v>
      </c>
      <c r="AJ32" s="58">
        <v>18919</v>
      </c>
      <c r="AK32" s="58">
        <v>16166</v>
      </c>
      <c r="AL32" s="58">
        <v>2834</v>
      </c>
      <c r="AM32" s="58">
        <v>137176</v>
      </c>
      <c r="AN32" s="58">
        <v>149315</v>
      </c>
      <c r="AO32" s="58">
        <v>155866</v>
      </c>
      <c r="AP32" s="58">
        <v>149235</v>
      </c>
      <c r="AQ32" s="58">
        <v>142117</v>
      </c>
      <c r="AR32" s="58">
        <v>131093</v>
      </c>
      <c r="AS32" s="58">
        <v>125288</v>
      </c>
      <c r="AT32" s="58">
        <v>125261</v>
      </c>
      <c r="AU32" s="58">
        <v>120639</v>
      </c>
      <c r="AV32" s="58">
        <v>115498</v>
      </c>
      <c r="AW32" s="58">
        <v>102541</v>
      </c>
      <c r="AX32" s="58">
        <v>81176</v>
      </c>
      <c r="AY32" s="58">
        <v>66775</v>
      </c>
      <c r="AZ32" s="58">
        <v>47520</v>
      </c>
      <c r="BA32" s="58">
        <v>33955</v>
      </c>
      <c r="BB32" s="58">
        <v>23565</v>
      </c>
      <c r="BC32" s="58">
        <v>14783</v>
      </c>
      <c r="BD32" s="58">
        <v>11517</v>
      </c>
      <c r="BE32" s="58">
        <v>2820</v>
      </c>
      <c r="BF32" s="58">
        <f t="shared" si="5"/>
        <v>271340</v>
      </c>
      <c r="BG32" s="58">
        <f t="shared" si="6"/>
        <v>294344</v>
      </c>
      <c r="BH32" s="58">
        <f t="shared" si="7"/>
        <v>305853</v>
      </c>
      <c r="BI32" s="58">
        <f t="shared" si="8"/>
        <v>294950</v>
      </c>
      <c r="BJ32" s="58">
        <f t="shared" si="9"/>
        <v>284064</v>
      </c>
      <c r="BK32" s="58">
        <f t="shared" si="10"/>
        <v>267261</v>
      </c>
      <c r="BL32" s="58">
        <f t="shared" si="11"/>
        <v>256845</v>
      </c>
      <c r="BM32" s="58">
        <f t="shared" si="12"/>
        <v>257220</v>
      </c>
      <c r="BN32" s="58">
        <f t="shared" si="13"/>
        <v>248637</v>
      </c>
      <c r="BO32" s="58">
        <f t="shared" si="14"/>
        <v>236202</v>
      </c>
      <c r="BP32" s="58">
        <f t="shared" si="15"/>
        <v>211394</v>
      </c>
      <c r="BQ32" s="58">
        <f t="shared" si="16"/>
        <v>167744</v>
      </c>
      <c r="BR32" s="58">
        <f t="shared" si="17"/>
        <v>139900</v>
      </c>
      <c r="BS32" s="58">
        <f t="shared" si="18"/>
        <v>100333</v>
      </c>
      <c r="BT32" s="58">
        <f t="shared" si="19"/>
        <v>73616</v>
      </c>
      <c r="BU32" s="58">
        <f t="shared" si="20"/>
        <v>50993</v>
      </c>
      <c r="BV32" s="58">
        <f t="shared" si="21"/>
        <v>33702</v>
      </c>
      <c r="BW32" s="58">
        <f t="shared" si="22"/>
        <v>27683</v>
      </c>
      <c r="BX32" s="58">
        <f t="shared" si="23"/>
        <v>5654</v>
      </c>
      <c r="BY32" s="58">
        <v>2735951</v>
      </c>
      <c r="BZ32" s="58">
        <v>1395965</v>
      </c>
      <c r="CA32" s="58">
        <v>1339986</v>
      </c>
      <c r="CB32" s="58">
        <v>21544</v>
      </c>
      <c r="CC32" s="58">
        <v>27677</v>
      </c>
      <c r="CD32" s="58">
        <v>149685</v>
      </c>
      <c r="CE32" s="58">
        <v>152648</v>
      </c>
      <c r="CF32" s="58">
        <v>141805</v>
      </c>
      <c r="CG32" s="58">
        <v>137859</v>
      </c>
      <c r="CH32" s="58">
        <v>135233</v>
      </c>
      <c r="CI32" s="58">
        <v>134177</v>
      </c>
      <c r="CJ32" s="58">
        <v>119715</v>
      </c>
      <c r="CK32" s="58">
        <v>101522</v>
      </c>
      <c r="CL32" s="58">
        <v>83861</v>
      </c>
      <c r="CM32" s="58">
        <v>62623</v>
      </c>
      <c r="CN32" s="58">
        <v>47667</v>
      </c>
      <c r="CO32" s="58">
        <v>34197</v>
      </c>
      <c r="CP32" s="58">
        <v>23450</v>
      </c>
      <c r="CQ32" s="58">
        <v>22302</v>
      </c>
      <c r="CR32" s="58">
        <v>1395965</v>
      </c>
      <c r="CS32" s="58">
        <v>22281</v>
      </c>
      <c r="CT32" s="58">
        <v>27879</v>
      </c>
      <c r="CU32" s="58">
        <v>152845</v>
      </c>
      <c r="CV32" s="58">
        <v>156187</v>
      </c>
      <c r="CW32" s="58">
        <v>142452</v>
      </c>
      <c r="CX32" s="58">
        <v>136307</v>
      </c>
      <c r="CY32" s="58">
        <v>131733</v>
      </c>
      <c r="CZ32" s="58">
        <v>128990</v>
      </c>
      <c r="DA32" s="58">
        <v>113217</v>
      </c>
      <c r="DB32" s="58">
        <v>94035</v>
      </c>
      <c r="DC32" s="58">
        <v>75545</v>
      </c>
      <c r="DD32" s="58">
        <v>55703</v>
      </c>
      <c r="DE32" s="58">
        <v>40531</v>
      </c>
      <c r="DF32" s="58">
        <v>28100</v>
      </c>
      <c r="DG32" s="58">
        <v>18482</v>
      </c>
      <c r="DH32" s="58">
        <v>15699</v>
      </c>
      <c r="DI32" s="58">
        <v>1339986</v>
      </c>
      <c r="DJ32" s="58">
        <v>43825</v>
      </c>
      <c r="DK32" s="58">
        <v>55556</v>
      </c>
      <c r="DL32" s="58">
        <v>302530</v>
      </c>
      <c r="DM32" s="58">
        <v>308835</v>
      </c>
      <c r="DN32" s="58">
        <v>284257</v>
      </c>
      <c r="DO32" s="58">
        <v>274166</v>
      </c>
      <c r="DP32" s="58">
        <v>266966</v>
      </c>
      <c r="DQ32" s="58">
        <v>263167</v>
      </c>
      <c r="DR32" s="58">
        <v>232932</v>
      </c>
      <c r="DS32" s="58">
        <v>195557</v>
      </c>
      <c r="DT32" s="58">
        <v>159406</v>
      </c>
      <c r="DU32" s="58">
        <v>118326</v>
      </c>
      <c r="DV32" s="58">
        <v>88198</v>
      </c>
      <c r="DW32" s="58">
        <v>62297</v>
      </c>
      <c r="DX32" s="58">
        <v>41932</v>
      </c>
      <c r="DY32" s="58">
        <v>38001</v>
      </c>
      <c r="DZ32" s="139">
        <v>2735951</v>
      </c>
      <c r="EA32" s="18">
        <f t="shared" si="24"/>
        <v>6</v>
      </c>
      <c r="EB32" s="18">
        <f t="shared" si="25"/>
        <v>18</v>
      </c>
      <c r="EC32" s="63">
        <f t="shared" si="26"/>
        <v>24</v>
      </c>
      <c r="ED32" s="18" t="s">
        <v>380</v>
      </c>
    </row>
    <row r="33" spans="1:134" ht="40.799999999999997" x14ac:dyDescent="0.2">
      <c r="A33" s="18">
        <v>29</v>
      </c>
      <c r="B33" s="18" t="s">
        <v>28</v>
      </c>
      <c r="C33" s="59">
        <v>3996.63</v>
      </c>
      <c r="D33" s="57">
        <f t="shared" si="1"/>
        <v>0.203842405083628</v>
      </c>
      <c r="E33" s="18">
        <v>60</v>
      </c>
      <c r="F33" s="58">
        <v>1342977</v>
      </c>
      <c r="G33" s="64">
        <f t="shared" si="2"/>
        <v>1.0657361437803145E-2</v>
      </c>
      <c r="H33" s="58">
        <v>693083</v>
      </c>
      <c r="I33" s="58">
        <v>649894</v>
      </c>
      <c r="J33" s="60">
        <v>16.612347046899998</v>
      </c>
      <c r="K33" s="58">
        <f t="shared" si="3"/>
        <v>223100.00000004619</v>
      </c>
      <c r="L33" s="58">
        <f t="shared" si="4"/>
        <v>1119876.9999999539</v>
      </c>
      <c r="M33" s="60">
        <v>336.02699984169999</v>
      </c>
      <c r="N33" s="60">
        <v>75.400000000000006</v>
      </c>
      <c r="O33" s="60">
        <v>78.22</v>
      </c>
      <c r="P33" s="60">
        <v>72.56</v>
      </c>
      <c r="Q33" s="18">
        <v>28</v>
      </c>
      <c r="R33" s="18">
        <v>29</v>
      </c>
      <c r="S33" s="18">
        <v>27</v>
      </c>
      <c r="T33" s="58">
        <v>54775</v>
      </c>
      <c r="U33" s="58">
        <v>58053</v>
      </c>
      <c r="V33" s="58">
        <v>58971</v>
      </c>
      <c r="W33" s="58">
        <v>59675</v>
      </c>
      <c r="X33" s="58">
        <v>57199</v>
      </c>
      <c r="Y33" s="58">
        <v>53868</v>
      </c>
      <c r="Z33" s="58">
        <v>51128</v>
      </c>
      <c r="AA33" s="58">
        <v>51310</v>
      </c>
      <c r="AB33" s="58">
        <v>47898</v>
      </c>
      <c r="AC33" s="58">
        <v>43113</v>
      </c>
      <c r="AD33" s="58">
        <v>38242</v>
      </c>
      <c r="AE33" s="58">
        <v>30129</v>
      </c>
      <c r="AF33" s="58">
        <v>24821</v>
      </c>
      <c r="AG33" s="58">
        <v>18039</v>
      </c>
      <c r="AH33" s="58">
        <v>13170</v>
      </c>
      <c r="AI33" s="58">
        <v>9127</v>
      </c>
      <c r="AJ33" s="58">
        <v>6256</v>
      </c>
      <c r="AK33" s="58">
        <v>6803</v>
      </c>
      <c r="AL33" s="58">
        <v>10506</v>
      </c>
      <c r="AM33" s="58">
        <v>55685</v>
      </c>
      <c r="AN33" s="58">
        <v>59685</v>
      </c>
      <c r="AO33" s="58">
        <v>60747</v>
      </c>
      <c r="AP33" s="58">
        <v>61532</v>
      </c>
      <c r="AQ33" s="58">
        <v>56738</v>
      </c>
      <c r="AR33" s="58">
        <v>50890</v>
      </c>
      <c r="AS33" s="58">
        <v>45384</v>
      </c>
      <c r="AT33" s="58">
        <v>43586</v>
      </c>
      <c r="AU33" s="58">
        <v>41550</v>
      </c>
      <c r="AV33" s="58">
        <v>37282</v>
      </c>
      <c r="AW33" s="58">
        <v>32540</v>
      </c>
      <c r="AX33" s="58">
        <v>26186</v>
      </c>
      <c r="AY33" s="58">
        <v>21684</v>
      </c>
      <c r="AZ33" s="58">
        <v>15919</v>
      </c>
      <c r="BA33" s="58">
        <v>11325</v>
      </c>
      <c r="BB33" s="58">
        <v>8240</v>
      </c>
      <c r="BC33" s="58">
        <v>5335</v>
      </c>
      <c r="BD33" s="58">
        <v>5167</v>
      </c>
      <c r="BE33" s="58">
        <v>10419</v>
      </c>
      <c r="BF33" s="58">
        <f t="shared" si="5"/>
        <v>110460</v>
      </c>
      <c r="BG33" s="58">
        <f t="shared" si="6"/>
        <v>117738</v>
      </c>
      <c r="BH33" s="58">
        <f t="shared" si="7"/>
        <v>119718</v>
      </c>
      <c r="BI33" s="58">
        <f t="shared" si="8"/>
        <v>121207</v>
      </c>
      <c r="BJ33" s="58">
        <f t="shared" si="9"/>
        <v>113937</v>
      </c>
      <c r="BK33" s="58">
        <f t="shared" si="10"/>
        <v>104758</v>
      </c>
      <c r="BL33" s="58">
        <f t="shared" si="11"/>
        <v>96512</v>
      </c>
      <c r="BM33" s="58">
        <f t="shared" si="12"/>
        <v>94896</v>
      </c>
      <c r="BN33" s="58">
        <f t="shared" si="13"/>
        <v>89448</v>
      </c>
      <c r="BO33" s="58">
        <f t="shared" si="14"/>
        <v>80395</v>
      </c>
      <c r="BP33" s="58">
        <f t="shared" si="15"/>
        <v>70782</v>
      </c>
      <c r="BQ33" s="58">
        <f t="shared" si="16"/>
        <v>56315</v>
      </c>
      <c r="BR33" s="58">
        <f t="shared" si="17"/>
        <v>46505</v>
      </c>
      <c r="BS33" s="58">
        <f t="shared" si="18"/>
        <v>33958</v>
      </c>
      <c r="BT33" s="58">
        <f t="shared" si="19"/>
        <v>24495</v>
      </c>
      <c r="BU33" s="58">
        <f t="shared" si="20"/>
        <v>17367</v>
      </c>
      <c r="BV33" s="58">
        <f t="shared" si="21"/>
        <v>11591</v>
      </c>
      <c r="BW33" s="58">
        <f t="shared" si="22"/>
        <v>11970</v>
      </c>
      <c r="BX33" s="58">
        <f t="shared" si="23"/>
        <v>20925</v>
      </c>
      <c r="BY33" s="58">
        <v>973400</v>
      </c>
      <c r="BZ33" s="58">
        <v>512552</v>
      </c>
      <c r="CA33" s="58">
        <v>460848</v>
      </c>
      <c r="CB33" s="18">
        <v>7774</v>
      </c>
      <c r="CC33" s="18">
        <v>11315</v>
      </c>
      <c r="CD33" s="18">
        <v>61809</v>
      </c>
      <c r="CE33" s="18">
        <v>62400</v>
      </c>
      <c r="CF33" s="18">
        <v>56861</v>
      </c>
      <c r="CG33" s="18">
        <v>55133</v>
      </c>
      <c r="CH33" s="18">
        <v>52474</v>
      </c>
      <c r="CI33" s="18">
        <v>48081</v>
      </c>
      <c r="CJ33" s="18">
        <v>40118</v>
      </c>
      <c r="CK33" s="18">
        <v>33158</v>
      </c>
      <c r="CL33" s="18">
        <v>26396</v>
      </c>
      <c r="CM33" s="18">
        <v>19157</v>
      </c>
      <c r="CN33" s="18">
        <v>14103</v>
      </c>
      <c r="CO33" s="18">
        <v>9705</v>
      </c>
      <c r="CP33" s="18">
        <v>6906</v>
      </c>
      <c r="CQ33" s="18">
        <v>7162</v>
      </c>
      <c r="CR33" s="18">
        <v>512552</v>
      </c>
      <c r="CS33" s="18">
        <v>8168</v>
      </c>
      <c r="CT33" s="18">
        <v>11149</v>
      </c>
      <c r="CU33" s="18">
        <v>61450</v>
      </c>
      <c r="CV33" s="18">
        <v>61361</v>
      </c>
      <c r="CW33" s="18">
        <v>52690</v>
      </c>
      <c r="CX33" s="18">
        <v>48332</v>
      </c>
      <c r="CY33" s="18">
        <v>45414</v>
      </c>
      <c r="CZ33" s="18">
        <v>41413</v>
      </c>
      <c r="DA33" s="18">
        <v>34074</v>
      </c>
      <c r="DB33" s="18">
        <v>28032</v>
      </c>
      <c r="DC33" s="18">
        <v>22173</v>
      </c>
      <c r="DD33" s="18">
        <v>16321</v>
      </c>
      <c r="DE33" s="18">
        <v>11821</v>
      </c>
      <c r="DF33" s="18">
        <v>8179</v>
      </c>
      <c r="DG33" s="18">
        <v>5319</v>
      </c>
      <c r="DH33" s="18">
        <v>4952</v>
      </c>
      <c r="DI33" s="18">
        <v>460848</v>
      </c>
      <c r="DJ33" s="18">
        <v>15942</v>
      </c>
      <c r="DK33" s="18">
        <v>22464</v>
      </c>
      <c r="DL33" s="18">
        <v>123259</v>
      </c>
      <c r="DM33" s="18">
        <v>123761</v>
      </c>
      <c r="DN33" s="18">
        <v>109551</v>
      </c>
      <c r="DO33" s="18">
        <v>103465</v>
      </c>
      <c r="DP33" s="18">
        <v>97888</v>
      </c>
      <c r="DQ33" s="18">
        <v>89494</v>
      </c>
      <c r="DR33" s="18">
        <v>74192</v>
      </c>
      <c r="DS33" s="18">
        <v>61190</v>
      </c>
      <c r="DT33" s="18">
        <v>48569</v>
      </c>
      <c r="DU33" s="18">
        <v>35478</v>
      </c>
      <c r="DV33" s="18">
        <v>25924</v>
      </c>
      <c r="DW33" s="18">
        <v>17884</v>
      </c>
      <c r="DX33" s="18">
        <v>12225</v>
      </c>
      <c r="DY33" s="18">
        <v>12114</v>
      </c>
      <c r="DZ33" s="139">
        <v>973400</v>
      </c>
      <c r="EA33" s="18">
        <f t="shared" si="24"/>
        <v>31</v>
      </c>
      <c r="EB33" s="18">
        <f t="shared" si="25"/>
        <v>13</v>
      </c>
      <c r="EC33" s="63">
        <f t="shared" si="26"/>
        <v>4</v>
      </c>
      <c r="ED33" s="18" t="s">
        <v>381</v>
      </c>
    </row>
    <row r="34" spans="1:134" ht="40.799999999999997" x14ac:dyDescent="0.2">
      <c r="A34" s="18">
        <v>30</v>
      </c>
      <c r="B34" s="18" t="s">
        <v>29</v>
      </c>
      <c r="C34" s="59">
        <v>71823.5</v>
      </c>
      <c r="D34" s="57">
        <f t="shared" si="1"/>
        <v>3.6632550377502939</v>
      </c>
      <c r="E34" s="18">
        <v>212</v>
      </c>
      <c r="F34" s="58">
        <v>8062579</v>
      </c>
      <c r="G34" s="64">
        <f t="shared" si="2"/>
        <v>6.398160096847634E-2</v>
      </c>
      <c r="H34" s="58">
        <v>4190805</v>
      </c>
      <c r="I34" s="58">
        <v>3871774</v>
      </c>
      <c r="J34" s="60">
        <v>38.275370697100001</v>
      </c>
      <c r="K34" s="58">
        <f t="shared" si="3"/>
        <v>3085981.9999965383</v>
      </c>
      <c r="L34" s="58">
        <f t="shared" si="4"/>
        <v>4976597.0000034617</v>
      </c>
      <c r="M34" s="60">
        <v>112.25548605109999</v>
      </c>
      <c r="N34" s="60">
        <v>74.7</v>
      </c>
      <c r="O34" s="60">
        <v>77.760000000000005</v>
      </c>
      <c r="P34" s="60">
        <v>71.64</v>
      </c>
      <c r="Q34" s="18">
        <v>31</v>
      </c>
      <c r="R34" s="18">
        <v>32</v>
      </c>
      <c r="S34" s="18">
        <v>30</v>
      </c>
      <c r="T34" s="58">
        <v>297140</v>
      </c>
      <c r="U34" s="58">
        <v>332847</v>
      </c>
      <c r="V34" s="58">
        <v>337788</v>
      </c>
      <c r="W34" s="58">
        <v>337395</v>
      </c>
      <c r="X34" s="58">
        <v>308035</v>
      </c>
      <c r="Y34" s="58">
        <v>307737</v>
      </c>
      <c r="Z34" s="58">
        <v>304712</v>
      </c>
      <c r="AA34" s="58">
        <v>300186</v>
      </c>
      <c r="AB34" s="58">
        <v>290379</v>
      </c>
      <c r="AC34" s="58">
        <v>275993</v>
      </c>
      <c r="AD34" s="58">
        <v>260838</v>
      </c>
      <c r="AE34" s="58">
        <v>216188</v>
      </c>
      <c r="AF34" s="58">
        <v>184851</v>
      </c>
      <c r="AG34" s="58">
        <v>148502</v>
      </c>
      <c r="AH34" s="58">
        <v>107721</v>
      </c>
      <c r="AI34" s="58">
        <v>76773</v>
      </c>
      <c r="AJ34" s="58">
        <v>52150</v>
      </c>
      <c r="AK34" s="58">
        <v>49807</v>
      </c>
      <c r="AL34" s="58">
        <v>1763</v>
      </c>
      <c r="AM34" s="58">
        <v>303113</v>
      </c>
      <c r="AN34" s="58">
        <v>342335</v>
      </c>
      <c r="AO34" s="58">
        <v>347680</v>
      </c>
      <c r="AP34" s="58">
        <v>344153</v>
      </c>
      <c r="AQ34" s="58">
        <v>292359</v>
      </c>
      <c r="AR34" s="58">
        <v>272684</v>
      </c>
      <c r="AS34" s="58">
        <v>263409</v>
      </c>
      <c r="AT34" s="58">
        <v>258605</v>
      </c>
      <c r="AU34" s="58">
        <v>247288</v>
      </c>
      <c r="AV34" s="58">
        <v>240159</v>
      </c>
      <c r="AW34" s="58">
        <v>227672</v>
      </c>
      <c r="AX34" s="58">
        <v>192522</v>
      </c>
      <c r="AY34" s="58">
        <v>162999</v>
      </c>
      <c r="AZ34" s="58">
        <v>130731</v>
      </c>
      <c r="BA34" s="58">
        <v>95435</v>
      </c>
      <c r="BB34" s="58">
        <v>68964</v>
      </c>
      <c r="BC34" s="58">
        <v>43082</v>
      </c>
      <c r="BD34" s="58">
        <v>36877</v>
      </c>
      <c r="BE34" s="58">
        <v>1707</v>
      </c>
      <c r="BF34" s="58">
        <f t="shared" si="5"/>
        <v>600253</v>
      </c>
      <c r="BG34" s="58">
        <f t="shared" si="6"/>
        <v>675182</v>
      </c>
      <c r="BH34" s="58">
        <f t="shared" si="7"/>
        <v>685468</v>
      </c>
      <c r="BI34" s="58">
        <f t="shared" si="8"/>
        <v>681548</v>
      </c>
      <c r="BJ34" s="58">
        <f t="shared" si="9"/>
        <v>600394</v>
      </c>
      <c r="BK34" s="58">
        <f t="shared" si="10"/>
        <v>580421</v>
      </c>
      <c r="BL34" s="58">
        <f t="shared" si="11"/>
        <v>568121</v>
      </c>
      <c r="BM34" s="58">
        <f t="shared" si="12"/>
        <v>558791</v>
      </c>
      <c r="BN34" s="58">
        <f t="shared" si="13"/>
        <v>537667</v>
      </c>
      <c r="BO34" s="58">
        <f t="shared" si="14"/>
        <v>516152</v>
      </c>
      <c r="BP34" s="58">
        <f t="shared" si="15"/>
        <v>488510</v>
      </c>
      <c r="BQ34" s="58">
        <f t="shared" si="16"/>
        <v>408710</v>
      </c>
      <c r="BR34" s="58">
        <f t="shared" si="17"/>
        <v>347850</v>
      </c>
      <c r="BS34" s="58">
        <f t="shared" si="18"/>
        <v>279233</v>
      </c>
      <c r="BT34" s="58">
        <f t="shared" si="19"/>
        <v>203156</v>
      </c>
      <c r="BU34" s="58">
        <f t="shared" si="20"/>
        <v>145737</v>
      </c>
      <c r="BV34" s="58">
        <f t="shared" si="21"/>
        <v>95232</v>
      </c>
      <c r="BW34" s="58">
        <f t="shared" si="22"/>
        <v>86684</v>
      </c>
      <c r="BX34" s="58">
        <f t="shared" si="23"/>
        <v>3470</v>
      </c>
      <c r="BY34" s="58">
        <v>5979649</v>
      </c>
      <c r="BZ34" s="58">
        <v>3150392</v>
      </c>
      <c r="CA34" s="58">
        <v>2829257</v>
      </c>
      <c r="CB34" s="18">
        <v>43830</v>
      </c>
      <c r="CC34" s="18">
        <v>59924</v>
      </c>
      <c r="CD34" s="18">
        <v>336107</v>
      </c>
      <c r="CE34" s="18">
        <v>347463</v>
      </c>
      <c r="CF34" s="18">
        <v>322451</v>
      </c>
      <c r="CG34" s="18">
        <v>307188</v>
      </c>
      <c r="CH34" s="18">
        <v>295879</v>
      </c>
      <c r="CI34" s="18">
        <v>289364</v>
      </c>
      <c r="CJ34" s="18">
        <v>262923</v>
      </c>
      <c r="CK34" s="18">
        <v>231471</v>
      </c>
      <c r="CL34" s="18">
        <v>190304</v>
      </c>
      <c r="CM34" s="18">
        <v>152751</v>
      </c>
      <c r="CN34" s="18">
        <v>116379</v>
      </c>
      <c r="CO34" s="18">
        <v>82014</v>
      </c>
      <c r="CP34" s="18">
        <v>57972</v>
      </c>
      <c r="CQ34" s="18">
        <v>54372</v>
      </c>
      <c r="CR34" s="18">
        <v>3150392</v>
      </c>
      <c r="CS34" s="18">
        <v>44875</v>
      </c>
      <c r="CT34" s="18">
        <v>60242</v>
      </c>
      <c r="CU34" s="18">
        <v>331757</v>
      </c>
      <c r="CV34" s="18">
        <v>333337</v>
      </c>
      <c r="CW34" s="18">
        <v>294566</v>
      </c>
      <c r="CX34" s="18">
        <v>272677</v>
      </c>
      <c r="CY34" s="18">
        <v>256564</v>
      </c>
      <c r="CZ34" s="18">
        <v>250790</v>
      </c>
      <c r="DA34" s="18">
        <v>227334</v>
      </c>
      <c r="DB34" s="18">
        <v>201749</v>
      </c>
      <c r="DC34" s="18">
        <v>166170</v>
      </c>
      <c r="DD34" s="18">
        <v>132481</v>
      </c>
      <c r="DE34" s="18">
        <v>101126</v>
      </c>
      <c r="DF34" s="18">
        <v>70038</v>
      </c>
      <c r="DG34" s="18">
        <v>46679</v>
      </c>
      <c r="DH34" s="18">
        <v>38872</v>
      </c>
      <c r="DI34" s="18">
        <v>2829257</v>
      </c>
      <c r="DJ34" s="18">
        <v>88705</v>
      </c>
      <c r="DK34" s="18">
        <v>120166</v>
      </c>
      <c r="DL34" s="18">
        <v>667864</v>
      </c>
      <c r="DM34" s="18">
        <v>680800</v>
      </c>
      <c r="DN34" s="18">
        <v>617017</v>
      </c>
      <c r="DO34" s="18">
        <v>579865</v>
      </c>
      <c r="DP34" s="18">
        <v>552443</v>
      </c>
      <c r="DQ34" s="18">
        <v>540154</v>
      </c>
      <c r="DR34" s="18">
        <v>490257</v>
      </c>
      <c r="DS34" s="18">
        <v>433220</v>
      </c>
      <c r="DT34" s="18">
        <v>356474</v>
      </c>
      <c r="DU34" s="18">
        <v>285232</v>
      </c>
      <c r="DV34" s="18">
        <v>217505</v>
      </c>
      <c r="DW34" s="18">
        <v>152052</v>
      </c>
      <c r="DX34" s="18">
        <v>104651</v>
      </c>
      <c r="DY34" s="18">
        <v>93244</v>
      </c>
      <c r="DZ34" s="139">
        <v>5979649</v>
      </c>
      <c r="EA34" s="18">
        <f t="shared" si="24"/>
        <v>11</v>
      </c>
      <c r="EB34" s="18">
        <f t="shared" si="25"/>
        <v>3</v>
      </c>
      <c r="EC34" s="63">
        <f t="shared" si="26"/>
        <v>11</v>
      </c>
      <c r="ED34" s="18" t="s">
        <v>382</v>
      </c>
    </row>
    <row r="35" spans="1:134" ht="40.799999999999997" x14ac:dyDescent="0.2">
      <c r="A35" s="18">
        <v>31</v>
      </c>
      <c r="B35" s="18" t="s">
        <v>30</v>
      </c>
      <c r="C35" s="59">
        <v>39524.400000000001</v>
      </c>
      <c r="D35" s="57">
        <f t="shared" si="1"/>
        <v>2.0158855724666398</v>
      </c>
      <c r="E35" s="18">
        <v>106</v>
      </c>
      <c r="F35" s="58">
        <v>2320898</v>
      </c>
      <c r="G35" s="64">
        <f t="shared" si="2"/>
        <v>1.8417775469181111E-2</v>
      </c>
      <c r="H35" s="58">
        <v>1180619</v>
      </c>
      <c r="I35" s="58">
        <v>1140279</v>
      </c>
      <c r="J35" s="60">
        <v>14.0483123343</v>
      </c>
      <c r="K35" s="58">
        <f t="shared" si="3"/>
        <v>326047.00000052201</v>
      </c>
      <c r="L35" s="58">
        <f t="shared" si="4"/>
        <v>1994850.999999478</v>
      </c>
      <c r="M35" s="60">
        <v>58.720616895100001</v>
      </c>
      <c r="N35" s="60">
        <v>74.84</v>
      </c>
      <c r="O35" s="60">
        <v>77.98</v>
      </c>
      <c r="P35" s="60">
        <v>71.81</v>
      </c>
      <c r="Q35" s="18">
        <v>30</v>
      </c>
      <c r="R35" s="18">
        <v>31</v>
      </c>
      <c r="S35" s="18">
        <v>29</v>
      </c>
      <c r="T35" s="58">
        <v>86651</v>
      </c>
      <c r="U35" s="58">
        <v>92220</v>
      </c>
      <c r="V35" s="58">
        <v>93304</v>
      </c>
      <c r="W35" s="58">
        <v>96946</v>
      </c>
      <c r="X35" s="58">
        <v>99440</v>
      </c>
      <c r="Y35" s="58">
        <v>96449</v>
      </c>
      <c r="Z35" s="58">
        <v>93832</v>
      </c>
      <c r="AA35" s="58">
        <v>89222</v>
      </c>
      <c r="AB35" s="58">
        <v>83472</v>
      </c>
      <c r="AC35" s="58">
        <v>75786</v>
      </c>
      <c r="AD35" s="58">
        <v>64472</v>
      </c>
      <c r="AE35" s="58">
        <v>54357</v>
      </c>
      <c r="AF35" s="58">
        <v>45890</v>
      </c>
      <c r="AG35" s="58">
        <v>38048</v>
      </c>
      <c r="AH35" s="58">
        <v>27846</v>
      </c>
      <c r="AI35" s="58">
        <v>18449</v>
      </c>
      <c r="AJ35" s="58">
        <v>11957</v>
      </c>
      <c r="AK35" s="58">
        <v>10358</v>
      </c>
      <c r="AL35" s="58">
        <v>1920</v>
      </c>
      <c r="AM35" s="58">
        <v>89335</v>
      </c>
      <c r="AN35" s="58">
        <v>93902</v>
      </c>
      <c r="AO35" s="58">
        <v>95833</v>
      </c>
      <c r="AP35" s="58">
        <v>99417</v>
      </c>
      <c r="AQ35" s="58">
        <v>100085</v>
      </c>
      <c r="AR35" s="58">
        <v>94526</v>
      </c>
      <c r="AS35" s="58">
        <v>89203</v>
      </c>
      <c r="AT35" s="58">
        <v>84877</v>
      </c>
      <c r="AU35" s="58">
        <v>77759</v>
      </c>
      <c r="AV35" s="58">
        <v>70247</v>
      </c>
      <c r="AW35" s="58">
        <v>57886</v>
      </c>
      <c r="AX35" s="58">
        <v>48826</v>
      </c>
      <c r="AY35" s="58">
        <v>40883</v>
      </c>
      <c r="AZ35" s="58">
        <v>34270</v>
      </c>
      <c r="BA35" s="58">
        <v>25378</v>
      </c>
      <c r="BB35" s="58">
        <v>17163</v>
      </c>
      <c r="BC35" s="58">
        <v>10519</v>
      </c>
      <c r="BD35" s="58">
        <v>8274</v>
      </c>
      <c r="BE35" s="58">
        <v>1896</v>
      </c>
      <c r="BF35" s="58">
        <f t="shared" si="5"/>
        <v>175986</v>
      </c>
      <c r="BG35" s="58">
        <f t="shared" si="6"/>
        <v>186122</v>
      </c>
      <c r="BH35" s="58">
        <f t="shared" si="7"/>
        <v>189137</v>
      </c>
      <c r="BI35" s="58">
        <f t="shared" si="8"/>
        <v>196363</v>
      </c>
      <c r="BJ35" s="58">
        <f t="shared" si="9"/>
        <v>199525</v>
      </c>
      <c r="BK35" s="58">
        <f t="shared" si="10"/>
        <v>190975</v>
      </c>
      <c r="BL35" s="58">
        <f t="shared" si="11"/>
        <v>183035</v>
      </c>
      <c r="BM35" s="58">
        <f t="shared" si="12"/>
        <v>174099</v>
      </c>
      <c r="BN35" s="58">
        <f t="shared" si="13"/>
        <v>161231</v>
      </c>
      <c r="BO35" s="58">
        <f t="shared" si="14"/>
        <v>146033</v>
      </c>
      <c r="BP35" s="58">
        <f t="shared" si="15"/>
        <v>122358</v>
      </c>
      <c r="BQ35" s="58">
        <f t="shared" si="16"/>
        <v>103183</v>
      </c>
      <c r="BR35" s="58">
        <f t="shared" si="17"/>
        <v>86773</v>
      </c>
      <c r="BS35" s="58">
        <f t="shared" si="18"/>
        <v>72318</v>
      </c>
      <c r="BT35" s="58">
        <f t="shared" si="19"/>
        <v>53224</v>
      </c>
      <c r="BU35" s="58">
        <f t="shared" si="20"/>
        <v>35612</v>
      </c>
      <c r="BV35" s="58">
        <f t="shared" si="21"/>
        <v>22476</v>
      </c>
      <c r="BW35" s="58">
        <f t="shared" si="22"/>
        <v>18632</v>
      </c>
      <c r="BX35" s="58">
        <f t="shared" si="23"/>
        <v>3816</v>
      </c>
      <c r="BY35" s="58">
        <v>1660072</v>
      </c>
      <c r="BZ35" s="58">
        <v>851174</v>
      </c>
      <c r="CA35" s="58">
        <v>808898</v>
      </c>
      <c r="CB35" s="18">
        <v>12405</v>
      </c>
      <c r="CC35" s="18">
        <v>16860</v>
      </c>
      <c r="CD35" s="18">
        <v>95587</v>
      </c>
      <c r="CE35" s="18">
        <v>98681</v>
      </c>
      <c r="CF35" s="18">
        <v>93672</v>
      </c>
      <c r="CG35" s="18">
        <v>89606</v>
      </c>
      <c r="CH35" s="18">
        <v>83075</v>
      </c>
      <c r="CI35" s="18">
        <v>79561</v>
      </c>
      <c r="CJ35" s="18">
        <v>64342</v>
      </c>
      <c r="CK35" s="18">
        <v>56036</v>
      </c>
      <c r="CL35" s="18">
        <v>46424</v>
      </c>
      <c r="CM35" s="18">
        <v>39027</v>
      </c>
      <c r="CN35" s="18">
        <v>30392</v>
      </c>
      <c r="CO35" s="18">
        <v>19794</v>
      </c>
      <c r="CP35" s="18">
        <v>13393</v>
      </c>
      <c r="CQ35" s="18">
        <v>12319</v>
      </c>
      <c r="CR35" s="18">
        <v>851174</v>
      </c>
      <c r="CS35" s="18">
        <v>12519</v>
      </c>
      <c r="CT35" s="18">
        <v>17390</v>
      </c>
      <c r="CU35" s="18">
        <v>96674</v>
      </c>
      <c r="CV35" s="18">
        <v>99691</v>
      </c>
      <c r="CW35" s="18">
        <v>92091</v>
      </c>
      <c r="CX35" s="18">
        <v>86055</v>
      </c>
      <c r="CY35" s="18">
        <v>78278</v>
      </c>
      <c r="CZ35" s="18">
        <v>73913</v>
      </c>
      <c r="DA35" s="18">
        <v>58605</v>
      </c>
      <c r="DB35" s="18">
        <v>50241</v>
      </c>
      <c r="DC35" s="18">
        <v>41789</v>
      </c>
      <c r="DD35" s="18">
        <v>34706</v>
      </c>
      <c r="DE35" s="18">
        <v>27889</v>
      </c>
      <c r="DF35" s="18">
        <v>17361</v>
      </c>
      <c r="DG35" s="18">
        <v>11831</v>
      </c>
      <c r="DH35" s="18">
        <v>9865</v>
      </c>
      <c r="DI35" s="18">
        <v>808898</v>
      </c>
      <c r="DJ35" s="18">
        <v>24924</v>
      </c>
      <c r="DK35" s="18">
        <v>34250</v>
      </c>
      <c r="DL35" s="18">
        <v>192261</v>
      </c>
      <c r="DM35" s="18">
        <v>198372</v>
      </c>
      <c r="DN35" s="18">
        <v>185763</v>
      </c>
      <c r="DO35" s="18">
        <v>175661</v>
      </c>
      <c r="DP35" s="18">
        <v>161353</v>
      </c>
      <c r="DQ35" s="18">
        <v>153474</v>
      </c>
      <c r="DR35" s="18">
        <v>122947</v>
      </c>
      <c r="DS35" s="18">
        <v>106277</v>
      </c>
      <c r="DT35" s="18">
        <v>88213</v>
      </c>
      <c r="DU35" s="18">
        <v>73733</v>
      </c>
      <c r="DV35" s="18">
        <v>58281</v>
      </c>
      <c r="DW35" s="18">
        <v>37155</v>
      </c>
      <c r="DX35" s="18">
        <v>25224</v>
      </c>
      <c r="DY35" s="18">
        <v>22184</v>
      </c>
      <c r="DZ35" s="139">
        <v>1660072</v>
      </c>
      <c r="EA35" s="18">
        <f t="shared" si="24"/>
        <v>20</v>
      </c>
      <c r="EB35" s="18">
        <f t="shared" si="25"/>
        <v>8</v>
      </c>
      <c r="EC35" s="63">
        <f t="shared" si="26"/>
        <v>17</v>
      </c>
      <c r="ED35" s="18" t="s">
        <v>383</v>
      </c>
    </row>
    <row r="36" spans="1:134" ht="40.799999999999997" x14ac:dyDescent="0.2">
      <c r="A36" s="18">
        <v>32</v>
      </c>
      <c r="B36" s="18" t="s">
        <v>31</v>
      </c>
      <c r="C36" s="59">
        <v>75275.3</v>
      </c>
      <c r="D36" s="57">
        <f t="shared" si="1"/>
        <v>3.8393091668209527</v>
      </c>
      <c r="E36" s="18">
        <v>58</v>
      </c>
      <c r="F36" s="58">
        <v>1622138</v>
      </c>
      <c r="G36" s="64">
        <f t="shared" si="2"/>
        <v>1.2872678361576646E-2</v>
      </c>
      <c r="H36" s="58">
        <v>831080</v>
      </c>
      <c r="I36" s="58">
        <v>791058</v>
      </c>
      <c r="J36" s="60">
        <v>36.744037806900003</v>
      </c>
      <c r="K36" s="58">
        <f t="shared" si="3"/>
        <v>596039.00000009162</v>
      </c>
      <c r="L36" s="58">
        <f t="shared" si="4"/>
        <v>1026098.9999999084</v>
      </c>
      <c r="M36" s="60">
        <v>21.549393234499998</v>
      </c>
      <c r="N36" s="60">
        <v>75.17</v>
      </c>
      <c r="O36" s="60">
        <v>78.290000000000006</v>
      </c>
      <c r="P36" s="60">
        <v>72.17</v>
      </c>
      <c r="Q36" s="18">
        <v>28</v>
      </c>
      <c r="R36" s="18">
        <v>29</v>
      </c>
      <c r="S36" s="18">
        <v>27</v>
      </c>
      <c r="T36" s="58">
        <v>75182</v>
      </c>
      <c r="U36" s="58">
        <v>77263</v>
      </c>
      <c r="V36" s="58">
        <v>74443</v>
      </c>
      <c r="W36" s="58">
        <v>70348</v>
      </c>
      <c r="X36" s="58">
        <v>66949</v>
      </c>
      <c r="Y36" s="58">
        <v>61768</v>
      </c>
      <c r="Z36" s="58">
        <v>60856</v>
      </c>
      <c r="AA36" s="58">
        <v>55075</v>
      </c>
      <c r="AB36" s="58">
        <v>53943</v>
      </c>
      <c r="AC36" s="58">
        <v>49019</v>
      </c>
      <c r="AD36" s="58">
        <v>45242</v>
      </c>
      <c r="AE36" s="58">
        <v>36456</v>
      </c>
      <c r="AF36" s="58">
        <v>30331</v>
      </c>
      <c r="AG36" s="58">
        <v>23212</v>
      </c>
      <c r="AH36" s="58">
        <v>18020</v>
      </c>
      <c r="AI36" s="58">
        <v>13342</v>
      </c>
      <c r="AJ36" s="58">
        <v>9417</v>
      </c>
      <c r="AK36" s="58">
        <v>9273</v>
      </c>
      <c r="AL36" s="58">
        <v>941</v>
      </c>
      <c r="AM36" s="58">
        <v>76563</v>
      </c>
      <c r="AN36" s="58">
        <v>78441</v>
      </c>
      <c r="AO36" s="58">
        <v>76912</v>
      </c>
      <c r="AP36" s="58">
        <v>70860</v>
      </c>
      <c r="AQ36" s="58">
        <v>63289</v>
      </c>
      <c r="AR36" s="58">
        <v>55905</v>
      </c>
      <c r="AS36" s="58">
        <v>53586</v>
      </c>
      <c r="AT36" s="58">
        <v>49653</v>
      </c>
      <c r="AU36" s="58">
        <v>48739</v>
      </c>
      <c r="AV36" s="58">
        <v>46099</v>
      </c>
      <c r="AW36" s="58">
        <v>40965</v>
      </c>
      <c r="AX36" s="58">
        <v>32945</v>
      </c>
      <c r="AY36" s="58">
        <v>27708</v>
      </c>
      <c r="AZ36" s="58">
        <v>21507</v>
      </c>
      <c r="BA36" s="58">
        <v>17080</v>
      </c>
      <c r="BB36" s="58">
        <v>13015</v>
      </c>
      <c r="BC36" s="58">
        <v>8641</v>
      </c>
      <c r="BD36" s="58">
        <v>8233</v>
      </c>
      <c r="BE36" s="58">
        <v>917</v>
      </c>
      <c r="BF36" s="58">
        <f t="shared" si="5"/>
        <v>151745</v>
      </c>
      <c r="BG36" s="58">
        <f t="shared" si="6"/>
        <v>155704</v>
      </c>
      <c r="BH36" s="58">
        <f t="shared" si="7"/>
        <v>151355</v>
      </c>
      <c r="BI36" s="58">
        <f t="shared" si="8"/>
        <v>141208</v>
      </c>
      <c r="BJ36" s="58">
        <f t="shared" si="9"/>
        <v>130238</v>
      </c>
      <c r="BK36" s="58">
        <f t="shared" si="10"/>
        <v>117673</v>
      </c>
      <c r="BL36" s="58">
        <f t="shared" si="11"/>
        <v>114442</v>
      </c>
      <c r="BM36" s="58">
        <f t="shared" si="12"/>
        <v>104728</v>
      </c>
      <c r="BN36" s="58">
        <f t="shared" si="13"/>
        <v>102682</v>
      </c>
      <c r="BO36" s="58">
        <f t="shared" si="14"/>
        <v>95118</v>
      </c>
      <c r="BP36" s="58">
        <f t="shared" si="15"/>
        <v>86207</v>
      </c>
      <c r="BQ36" s="58">
        <f t="shared" si="16"/>
        <v>69401</v>
      </c>
      <c r="BR36" s="58">
        <f t="shared" si="17"/>
        <v>58039</v>
      </c>
      <c r="BS36" s="58">
        <f t="shared" si="18"/>
        <v>44719</v>
      </c>
      <c r="BT36" s="58">
        <f t="shared" si="19"/>
        <v>35100</v>
      </c>
      <c r="BU36" s="58">
        <f t="shared" si="20"/>
        <v>26357</v>
      </c>
      <c r="BV36" s="58">
        <f t="shared" si="21"/>
        <v>18058</v>
      </c>
      <c r="BW36" s="58">
        <f t="shared" si="22"/>
        <v>17506</v>
      </c>
      <c r="BX36" s="58">
        <f t="shared" si="23"/>
        <v>1858</v>
      </c>
      <c r="BY36" s="58">
        <v>1211038</v>
      </c>
      <c r="BZ36" s="58">
        <v>623598</v>
      </c>
      <c r="CA36" s="58">
        <v>587440</v>
      </c>
      <c r="CB36" s="18">
        <v>9231</v>
      </c>
      <c r="CC36" s="18">
        <v>12266</v>
      </c>
      <c r="CD36" s="18">
        <v>71666</v>
      </c>
      <c r="CE36" s="18">
        <v>72226</v>
      </c>
      <c r="CF36" s="18">
        <v>66833</v>
      </c>
      <c r="CG36" s="18">
        <v>61362</v>
      </c>
      <c r="CH36" s="18">
        <v>57860</v>
      </c>
      <c r="CI36" s="18">
        <v>55414</v>
      </c>
      <c r="CJ36" s="18">
        <v>49618</v>
      </c>
      <c r="CK36" s="18">
        <v>43249</v>
      </c>
      <c r="CL36" s="18">
        <v>35812</v>
      </c>
      <c r="CM36" s="18">
        <v>27423</v>
      </c>
      <c r="CN36" s="18">
        <v>21845</v>
      </c>
      <c r="CO36" s="18">
        <v>16400</v>
      </c>
      <c r="CP36" s="18">
        <v>11247</v>
      </c>
      <c r="CQ36" s="18">
        <v>11146</v>
      </c>
      <c r="CR36" s="18">
        <v>623598</v>
      </c>
      <c r="CS36" s="18">
        <v>9412</v>
      </c>
      <c r="CT36" s="18">
        <v>11950</v>
      </c>
      <c r="CU36" s="18">
        <v>69642</v>
      </c>
      <c r="CV36" s="18">
        <v>70887</v>
      </c>
      <c r="CW36" s="18">
        <v>62801</v>
      </c>
      <c r="CX36" s="18">
        <v>56632</v>
      </c>
      <c r="CY36" s="18">
        <v>53178</v>
      </c>
      <c r="CZ36" s="18">
        <v>53087</v>
      </c>
      <c r="DA36" s="18">
        <v>46019</v>
      </c>
      <c r="DB36" s="18">
        <v>39966</v>
      </c>
      <c r="DC36" s="18">
        <v>32497</v>
      </c>
      <c r="DD36" s="18">
        <v>25733</v>
      </c>
      <c r="DE36" s="18">
        <v>20507</v>
      </c>
      <c r="DF36" s="18">
        <v>15380</v>
      </c>
      <c r="DG36" s="18">
        <v>10226</v>
      </c>
      <c r="DH36" s="18">
        <v>9523</v>
      </c>
      <c r="DI36" s="18">
        <v>587440</v>
      </c>
      <c r="DJ36" s="18">
        <v>18643</v>
      </c>
      <c r="DK36" s="18">
        <v>24216</v>
      </c>
      <c r="DL36" s="18">
        <v>141308</v>
      </c>
      <c r="DM36" s="18">
        <v>143113</v>
      </c>
      <c r="DN36" s="18">
        <v>129634</v>
      </c>
      <c r="DO36" s="18">
        <v>117994</v>
      </c>
      <c r="DP36" s="18">
        <v>111038</v>
      </c>
      <c r="DQ36" s="18">
        <v>108501</v>
      </c>
      <c r="DR36" s="18">
        <v>95637</v>
      </c>
      <c r="DS36" s="18">
        <v>83215</v>
      </c>
      <c r="DT36" s="18">
        <v>68309</v>
      </c>
      <c r="DU36" s="18">
        <v>53156</v>
      </c>
      <c r="DV36" s="18">
        <v>42352</v>
      </c>
      <c r="DW36" s="18">
        <v>31780</v>
      </c>
      <c r="DX36" s="18">
        <v>21473</v>
      </c>
      <c r="DY36" s="18">
        <v>20669</v>
      </c>
      <c r="DZ36" s="139">
        <v>1211038</v>
      </c>
      <c r="EA36" s="18">
        <f t="shared" si="24"/>
        <v>8</v>
      </c>
      <c r="EB36" s="18">
        <f t="shared" si="25"/>
        <v>14</v>
      </c>
      <c r="EC36" s="63">
        <f t="shared" si="26"/>
        <v>26</v>
      </c>
      <c r="ED36" s="18" t="s">
        <v>384</v>
      </c>
    </row>
    <row r="37" spans="1:134" ht="20.399999999999999" x14ac:dyDescent="0.2">
      <c r="A37" s="18">
        <v>33</v>
      </c>
      <c r="B37" s="18" t="s">
        <v>277</v>
      </c>
      <c r="C37" s="59">
        <v>1960647</v>
      </c>
      <c r="D37" s="57">
        <f t="shared" si="1"/>
        <v>100</v>
      </c>
      <c r="E37" s="58">
        <v>2471</v>
      </c>
      <c r="F37" s="58">
        <v>126014024</v>
      </c>
      <c r="G37" s="64">
        <f t="shared" si="2"/>
        <v>1</v>
      </c>
      <c r="H37" s="58">
        <v>64540634</v>
      </c>
      <c r="I37" s="58">
        <v>61473390</v>
      </c>
      <c r="J37" s="60">
        <v>21.413115098999999</v>
      </c>
      <c r="K37" s="58">
        <f t="shared" si="3"/>
        <v>26983528.000001483</v>
      </c>
      <c r="L37" s="58">
        <f t="shared" si="4"/>
        <v>99030495.99999851</v>
      </c>
      <c r="M37" s="60">
        <v>64.271664347200002</v>
      </c>
      <c r="N37" s="60">
        <v>75.349999999999994</v>
      </c>
      <c r="O37" s="60">
        <v>78.239999999999995</v>
      </c>
      <c r="P37" s="60">
        <v>72.489999999999995</v>
      </c>
      <c r="Q37" s="18">
        <v>29</v>
      </c>
      <c r="R37" s="18">
        <v>30</v>
      </c>
      <c r="S37" s="18">
        <v>28</v>
      </c>
      <c r="T37" s="58">
        <f t="shared" ref="T37" si="27">SUM(T5:T36)</f>
        <v>4969883</v>
      </c>
      <c r="U37" s="58">
        <f t="shared" ref="U37" si="28">SUM(U5:U36)</f>
        <v>5311288</v>
      </c>
      <c r="V37" s="58">
        <f t="shared" ref="V37" si="29">SUM(V5:V36)</f>
        <v>5389280</v>
      </c>
      <c r="W37" s="58">
        <f t="shared" ref="W37" si="30">SUM(W5:W36)</f>
        <v>5344540</v>
      </c>
      <c r="X37" s="58">
        <f t="shared" ref="X37" si="31">SUM(X5:X36)</f>
        <v>5256211</v>
      </c>
      <c r="Y37" s="58">
        <f t="shared" ref="Y37" si="32">SUM(Y5:Y36)</f>
        <v>5131597</v>
      </c>
      <c r="Z37" s="58">
        <f t="shared" ref="Z37" si="33">SUM(Z5:Z36)</f>
        <v>4893101</v>
      </c>
      <c r="AA37" s="58">
        <f t="shared" ref="AA37" si="34">SUM(AA5:AA36)</f>
        <v>4688746</v>
      </c>
      <c r="AB37" s="58">
        <f t="shared" ref="AB37" si="35">SUM(AB5:AB36)</f>
        <v>4441282</v>
      </c>
      <c r="AC37" s="58">
        <f t="shared" ref="AC37" si="36">SUM(AC5:AC36)</f>
        <v>4130069</v>
      </c>
      <c r="AD37" s="58">
        <f t="shared" ref="AD37" si="37">SUM(AD5:AD36)</f>
        <v>3705369</v>
      </c>
      <c r="AE37" s="58">
        <f t="shared" ref="AE37" si="38">SUM(AE5:AE36)</f>
        <v>3002982</v>
      </c>
      <c r="AF37" s="58">
        <f t="shared" ref="AF37" si="39">SUM(AF5:AF36)</f>
        <v>2563200</v>
      </c>
      <c r="AG37" s="58">
        <f t="shared" ref="AG37" si="40">SUM(AG5:AG36)</f>
        <v>1938227</v>
      </c>
      <c r="AH37" s="58">
        <f t="shared" ref="AH37" si="41">SUM(AH5:AH36)</f>
        <v>1413848</v>
      </c>
      <c r="AI37" s="58">
        <f t="shared" ref="AI37" si="42">SUM(AI5:AI36)</f>
        <v>966684</v>
      </c>
      <c r="AJ37" s="58">
        <f t="shared" ref="AJ37" si="43">SUM(AJ5:AJ36)</f>
        <v>651552</v>
      </c>
      <c r="AK37" s="58">
        <f t="shared" ref="AK37:AL37" si="44">SUM(AK5:AK36)</f>
        <v>605583</v>
      </c>
      <c r="AL37" s="58">
        <f t="shared" si="44"/>
        <v>137192</v>
      </c>
      <c r="AM37" s="58">
        <f t="shared" ref="AM37" si="45">SUM(AM5:AM36)</f>
        <v>5077482</v>
      </c>
      <c r="AN37" s="58">
        <f t="shared" ref="AN37" si="46">SUM(AN5:AN36)</f>
        <v>5453091</v>
      </c>
      <c r="AO37" s="58">
        <f t="shared" ref="AO37" si="47">SUM(AO5:AO36)</f>
        <v>5554260</v>
      </c>
      <c r="AP37" s="58">
        <f t="shared" ref="AP37" si="48">SUM(AP5:AP36)</f>
        <v>5462150</v>
      </c>
      <c r="AQ37" s="58">
        <f t="shared" ref="AQ37" si="49">SUM(AQ5:AQ36)</f>
        <v>5165884</v>
      </c>
      <c r="AR37" s="58">
        <f t="shared" ref="AR37" si="50">SUM(AR5:AR36)</f>
        <v>4861404</v>
      </c>
      <c r="AS37" s="58">
        <f t="shared" ref="AS37" si="51">SUM(AS5:AS36)</f>
        <v>4527726</v>
      </c>
      <c r="AT37" s="58">
        <f t="shared" ref="AT37" si="52">SUM(AT5:AT36)</f>
        <v>4331530</v>
      </c>
      <c r="AU37" s="58">
        <f t="shared" ref="AU37" si="53">SUM(AU5:AU36)</f>
        <v>4062304</v>
      </c>
      <c r="AV37" s="58">
        <f t="shared" ref="AV37" si="54">SUM(AV5:AV36)</f>
        <v>3812344</v>
      </c>
      <c r="AW37" s="58">
        <f t="shared" ref="AW37" si="55">SUM(AW5:AW36)</f>
        <v>3332163</v>
      </c>
      <c r="AX37" s="58">
        <f t="shared" ref="AX37" si="56">SUM(AX5:AX36)</f>
        <v>2692976</v>
      </c>
      <c r="AY37" s="58">
        <f t="shared" ref="AY37" si="57">SUM(AY5:AY36)</f>
        <v>2257862</v>
      </c>
      <c r="AZ37" s="58">
        <f t="shared" ref="AZ37" si="58">SUM(AZ5:AZ36)</f>
        <v>1706850</v>
      </c>
      <c r="BA37" s="58">
        <f t="shared" ref="BA37" si="59">SUM(BA5:BA36)</f>
        <v>1233492</v>
      </c>
      <c r="BB37" s="58">
        <f t="shared" ref="BB37" si="60">SUM(BB5:BB36)</f>
        <v>847898</v>
      </c>
      <c r="BC37" s="58">
        <f t="shared" ref="BC37" si="61">SUM(BC5:BC36)</f>
        <v>523812</v>
      </c>
      <c r="BD37" s="58">
        <f t="shared" ref="BD37" si="62">SUM(BD5:BD36)</f>
        <v>433968</v>
      </c>
      <c r="BE37" s="58">
        <f t="shared" ref="BE37" si="63">SUM(BE5:BE36)</f>
        <v>136194</v>
      </c>
      <c r="BF37" s="58">
        <f t="shared" si="5"/>
        <v>10047365</v>
      </c>
      <c r="BG37" s="58">
        <f t="shared" si="6"/>
        <v>10764379</v>
      </c>
      <c r="BH37" s="58">
        <f t="shared" si="7"/>
        <v>10943540</v>
      </c>
      <c r="BI37" s="58">
        <f t="shared" si="8"/>
        <v>10806690</v>
      </c>
      <c r="BJ37" s="58">
        <f t="shared" si="9"/>
        <v>10422095</v>
      </c>
      <c r="BK37" s="58">
        <f t="shared" si="10"/>
        <v>9993001</v>
      </c>
      <c r="BL37" s="58">
        <f t="shared" si="11"/>
        <v>9420827</v>
      </c>
      <c r="BM37" s="58">
        <f t="shared" si="12"/>
        <v>9020276</v>
      </c>
      <c r="BN37" s="58">
        <f t="shared" si="13"/>
        <v>8503586</v>
      </c>
      <c r="BO37" s="58">
        <f t="shared" si="14"/>
        <v>7942413</v>
      </c>
      <c r="BP37" s="58">
        <f t="shared" si="15"/>
        <v>7037532</v>
      </c>
      <c r="BQ37" s="58">
        <f t="shared" si="16"/>
        <v>5695958</v>
      </c>
      <c r="BR37" s="58">
        <f t="shared" si="17"/>
        <v>4821062</v>
      </c>
      <c r="BS37" s="58">
        <f t="shared" si="18"/>
        <v>3645077</v>
      </c>
      <c r="BT37" s="58">
        <f t="shared" si="19"/>
        <v>2647340</v>
      </c>
      <c r="BU37" s="58">
        <f t="shared" si="20"/>
        <v>1814582</v>
      </c>
      <c r="BV37" s="58">
        <f t="shared" si="21"/>
        <v>1175364</v>
      </c>
      <c r="BW37" s="58">
        <f t="shared" si="22"/>
        <v>1039551</v>
      </c>
      <c r="BX37" s="58">
        <f t="shared" si="23"/>
        <v>273386</v>
      </c>
      <c r="BY37" s="58">
        <v>93532133</v>
      </c>
      <c r="BZ37" s="58">
        <v>48464586</v>
      </c>
      <c r="CA37" s="58">
        <v>45067547</v>
      </c>
      <c r="CB37" s="18">
        <v>657235</v>
      </c>
      <c r="CC37" s="18">
        <v>954508</v>
      </c>
      <c r="CD37" s="18">
        <v>5530887</v>
      </c>
      <c r="CE37" s="18">
        <v>5709346</v>
      </c>
      <c r="CF37" s="18">
        <v>5252203</v>
      </c>
      <c r="CG37" s="18">
        <v>4914086</v>
      </c>
      <c r="CH37" s="18">
        <v>4643304</v>
      </c>
      <c r="CI37" s="18">
        <v>4513881</v>
      </c>
      <c r="CJ37" s="18">
        <v>3902804</v>
      </c>
      <c r="CK37" s="18">
        <v>3354993</v>
      </c>
      <c r="CL37" s="18">
        <v>2758468</v>
      </c>
      <c r="CM37" s="18">
        <v>2119463</v>
      </c>
      <c r="CN37" s="18">
        <v>1576570</v>
      </c>
      <c r="CO37" s="18">
        <v>1108269</v>
      </c>
      <c r="CP37" s="18">
        <v>748183</v>
      </c>
      <c r="CQ37" s="18">
        <v>720386</v>
      </c>
      <c r="CR37" s="18">
        <v>48464586</v>
      </c>
      <c r="CS37" s="18">
        <v>661484</v>
      </c>
      <c r="CT37" s="18">
        <v>949961</v>
      </c>
      <c r="CU37" s="18">
        <v>5522628</v>
      </c>
      <c r="CV37" s="18">
        <v>5678937</v>
      </c>
      <c r="CW37" s="18">
        <v>5057111</v>
      </c>
      <c r="CX37" s="18">
        <v>4629923</v>
      </c>
      <c r="CY37" s="18">
        <v>4306586</v>
      </c>
      <c r="CZ37" s="18">
        <v>4154310</v>
      </c>
      <c r="DA37" s="18">
        <v>3522630</v>
      </c>
      <c r="DB37" s="18">
        <v>2965868</v>
      </c>
      <c r="DC37" s="18">
        <v>2410317</v>
      </c>
      <c r="DD37" s="18">
        <v>1845612</v>
      </c>
      <c r="DE37" s="18">
        <v>1354621</v>
      </c>
      <c r="DF37" s="18">
        <v>921196</v>
      </c>
      <c r="DG37" s="18">
        <v>587723</v>
      </c>
      <c r="DH37" s="18">
        <v>498640</v>
      </c>
      <c r="DI37" s="18">
        <v>45067547</v>
      </c>
      <c r="DJ37" s="18">
        <v>1318719</v>
      </c>
      <c r="DK37" s="18">
        <v>1904469</v>
      </c>
      <c r="DL37" s="18">
        <v>11053515</v>
      </c>
      <c r="DM37" s="18">
        <v>11388283</v>
      </c>
      <c r="DN37" s="18">
        <v>10309314</v>
      </c>
      <c r="DO37" s="18">
        <v>9544009</v>
      </c>
      <c r="DP37" s="18">
        <v>8949890</v>
      </c>
      <c r="DQ37" s="18">
        <v>8668191</v>
      </c>
      <c r="DR37" s="18">
        <v>7425434</v>
      </c>
      <c r="DS37" s="18">
        <v>6320861</v>
      </c>
      <c r="DT37" s="18">
        <v>5168785</v>
      </c>
      <c r="DU37" s="18">
        <v>3965075</v>
      </c>
      <c r="DV37" s="18">
        <v>2931191</v>
      </c>
      <c r="DW37" s="18">
        <v>2029465</v>
      </c>
      <c r="DX37" s="18">
        <v>1335906</v>
      </c>
      <c r="DY37" s="18">
        <v>1219026</v>
      </c>
      <c r="DZ37" s="139">
        <v>93532133</v>
      </c>
      <c r="EB37" s="18" t="e">
        <f t="shared" si="25"/>
        <v>#N/A</v>
      </c>
      <c r="EC37" s="63" t="e">
        <f t="shared" si="26"/>
        <v>#N/A</v>
      </c>
    </row>
  </sheetData>
  <mergeCells count="3">
    <mergeCell ref="F2:L2"/>
    <mergeCell ref="T2:BX2"/>
    <mergeCell ref="BY2:DZ2"/>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D4AB4C-4525-42DD-8E53-682C420FC893}">
  <dimension ref="A1:BH37"/>
  <sheetViews>
    <sheetView topLeftCell="AL1" workbookViewId="0">
      <selection activeCell="BH28" sqref="BH28"/>
    </sheetView>
  </sheetViews>
  <sheetFormatPr baseColWidth="10" defaultRowHeight="10.199999999999999" x14ac:dyDescent="0.2"/>
  <cols>
    <col min="1" max="1" width="3" style="18" bestFit="1" customWidth="1"/>
    <col min="2" max="2" width="17.140625" style="18" customWidth="1"/>
    <col min="3" max="60" width="11.42578125" style="18"/>
  </cols>
  <sheetData>
    <row r="1" spans="1:60" x14ac:dyDescent="0.2">
      <c r="A1" s="18">
        <v>1</v>
      </c>
      <c r="B1" s="18">
        <v>2</v>
      </c>
      <c r="C1" s="18">
        <v>3</v>
      </c>
      <c r="D1" s="18">
        <v>4</v>
      </c>
      <c r="E1" s="18">
        <v>5</v>
      </c>
      <c r="F1" s="18">
        <v>6</v>
      </c>
      <c r="G1" s="18">
        <v>7</v>
      </c>
      <c r="H1" s="18">
        <v>8</v>
      </c>
      <c r="I1" s="18">
        <v>9</v>
      </c>
      <c r="J1" s="18">
        <v>10</v>
      </c>
      <c r="K1" s="18">
        <v>11</v>
      </c>
      <c r="L1" s="18">
        <v>12</v>
      </c>
      <c r="M1" s="18">
        <v>13</v>
      </c>
      <c r="N1" s="18">
        <v>14</v>
      </c>
      <c r="O1" s="18">
        <v>15</v>
      </c>
      <c r="P1" s="18">
        <v>16</v>
      </c>
      <c r="Q1" s="18">
        <v>17</v>
      </c>
      <c r="R1" s="18">
        <v>18</v>
      </c>
      <c r="S1" s="18">
        <v>19</v>
      </c>
      <c r="T1" s="18">
        <v>20</v>
      </c>
      <c r="U1" s="18">
        <v>21</v>
      </c>
      <c r="V1" s="18">
        <v>22</v>
      </c>
      <c r="W1" s="18">
        <v>23</v>
      </c>
      <c r="X1" s="18">
        <v>24</v>
      </c>
      <c r="Y1" s="18">
        <v>25</v>
      </c>
      <c r="Z1" s="18">
        <v>26</v>
      </c>
      <c r="AA1" s="18">
        <v>27</v>
      </c>
      <c r="AB1" s="18">
        <v>28</v>
      </c>
      <c r="AC1" s="18">
        <v>29</v>
      </c>
      <c r="AD1" s="18">
        <v>30</v>
      </c>
      <c r="AE1" s="18">
        <v>31</v>
      </c>
      <c r="AF1" s="18">
        <v>32</v>
      </c>
      <c r="AG1" s="18">
        <v>33</v>
      </c>
      <c r="AH1" s="18">
        <v>34</v>
      </c>
      <c r="AI1" s="18">
        <v>35</v>
      </c>
      <c r="AJ1" s="18">
        <v>36</v>
      </c>
      <c r="AK1" s="18">
        <v>37</v>
      </c>
      <c r="AL1" s="18">
        <v>38</v>
      </c>
      <c r="AM1" s="18">
        <v>39</v>
      </c>
      <c r="AN1" s="18">
        <v>40</v>
      </c>
      <c r="AO1" s="18">
        <v>41</v>
      </c>
      <c r="AP1" s="18">
        <v>42</v>
      </c>
      <c r="AQ1" s="18">
        <v>43</v>
      </c>
      <c r="AR1" s="18">
        <v>44</v>
      </c>
      <c r="AS1" s="18">
        <v>45</v>
      </c>
      <c r="AT1" s="18">
        <v>46</v>
      </c>
      <c r="AU1" s="18">
        <v>47</v>
      </c>
      <c r="AV1" s="18">
        <v>48</v>
      </c>
      <c r="AW1" s="18">
        <v>49</v>
      </c>
      <c r="AX1" s="18">
        <v>50</v>
      </c>
      <c r="AY1" s="18">
        <v>51</v>
      </c>
      <c r="AZ1" s="18">
        <v>52</v>
      </c>
      <c r="BA1" s="18">
        <v>53</v>
      </c>
      <c r="BB1" s="18">
        <v>54</v>
      </c>
      <c r="BC1" s="18">
        <v>55</v>
      </c>
      <c r="BD1" s="18">
        <v>56</v>
      </c>
      <c r="BE1" s="18">
        <v>57</v>
      </c>
      <c r="BF1" s="18">
        <v>58</v>
      </c>
      <c r="BG1" s="18">
        <v>59</v>
      </c>
      <c r="BH1" s="18">
        <v>60</v>
      </c>
    </row>
    <row r="2" spans="1:60" x14ac:dyDescent="0.2">
      <c r="C2" s="172" t="s">
        <v>59</v>
      </c>
      <c r="D2" s="172"/>
      <c r="E2" s="172"/>
      <c r="F2" s="172"/>
      <c r="G2" s="172"/>
      <c r="H2" s="172"/>
      <c r="I2" s="172"/>
      <c r="J2" s="172"/>
      <c r="K2" s="172"/>
      <c r="L2" s="172"/>
      <c r="M2" s="172"/>
      <c r="N2" s="172"/>
      <c r="O2" s="172"/>
      <c r="P2" s="172"/>
      <c r="Q2" s="172"/>
      <c r="R2" s="172"/>
      <c r="S2" s="172"/>
      <c r="T2" s="172"/>
      <c r="U2" s="172"/>
      <c r="V2" s="172"/>
      <c r="W2" s="172"/>
      <c r="X2" s="172"/>
      <c r="Y2" s="172"/>
      <c r="Z2" s="172"/>
      <c r="AA2" s="172"/>
      <c r="AB2" s="172"/>
      <c r="AC2" s="172"/>
      <c r="AD2" s="172"/>
      <c r="AE2" s="172"/>
      <c r="AF2" s="172"/>
      <c r="AG2" s="172"/>
      <c r="AH2" s="172"/>
      <c r="AI2" s="172"/>
      <c r="AJ2" s="172"/>
      <c r="AK2" s="172"/>
      <c r="AL2" s="172"/>
      <c r="AM2" s="172"/>
      <c r="AN2" s="172"/>
      <c r="AO2" s="172"/>
      <c r="AP2" s="172"/>
      <c r="AQ2" s="172"/>
      <c r="AR2" s="172"/>
      <c r="AS2" s="172"/>
      <c r="AT2" s="172"/>
      <c r="AU2" s="172"/>
      <c r="AV2" s="172"/>
      <c r="AW2" s="172"/>
      <c r="AX2" s="172"/>
      <c r="AY2" s="172"/>
      <c r="AZ2" s="172"/>
      <c r="BA2" s="172"/>
      <c r="BB2" s="172"/>
      <c r="BC2" s="172"/>
      <c r="BD2" s="172"/>
      <c r="BE2" s="172"/>
      <c r="BF2" s="172"/>
      <c r="BG2" s="172"/>
      <c r="BH2" s="172"/>
    </row>
    <row r="3" spans="1:60" x14ac:dyDescent="0.2">
      <c r="C3" s="18">
        <v>2021</v>
      </c>
      <c r="D3" s="18">
        <v>2021</v>
      </c>
      <c r="E3" s="18">
        <v>2021</v>
      </c>
      <c r="F3" s="18">
        <v>2021</v>
      </c>
      <c r="G3" s="18">
        <v>2021</v>
      </c>
      <c r="H3" s="18">
        <v>2021</v>
      </c>
      <c r="I3" s="18">
        <v>2021</v>
      </c>
      <c r="J3" s="18">
        <v>2021</v>
      </c>
      <c r="K3" s="18">
        <v>2021</v>
      </c>
      <c r="L3" s="18">
        <v>2021</v>
      </c>
      <c r="M3" s="18">
        <v>2021</v>
      </c>
      <c r="N3" s="18">
        <v>2021</v>
      </c>
      <c r="O3" s="18">
        <v>2021</v>
      </c>
      <c r="P3" s="18">
        <v>2021</v>
      </c>
      <c r="Q3" s="18">
        <v>2021</v>
      </c>
      <c r="R3" s="18">
        <v>2021</v>
      </c>
      <c r="S3" s="18">
        <v>2021</v>
      </c>
      <c r="T3" s="18">
        <v>2021</v>
      </c>
      <c r="U3" s="18">
        <v>2021</v>
      </c>
      <c r="V3" s="18">
        <v>2021</v>
      </c>
      <c r="W3" s="18">
        <v>2021</v>
      </c>
      <c r="X3" s="18">
        <v>2021</v>
      </c>
      <c r="Y3" s="18">
        <v>2021</v>
      </c>
      <c r="Z3" s="18">
        <v>2021</v>
      </c>
      <c r="AA3" s="18">
        <v>2021</v>
      </c>
      <c r="AB3" s="18">
        <v>2021</v>
      </c>
      <c r="AC3" s="18">
        <v>2021</v>
      </c>
      <c r="AD3" s="18">
        <v>2021</v>
      </c>
      <c r="AE3" s="18">
        <v>2021</v>
      </c>
      <c r="AF3" s="18">
        <v>2021</v>
      </c>
      <c r="AG3" s="18">
        <v>2021</v>
      </c>
      <c r="AH3" s="18">
        <v>2021</v>
      </c>
      <c r="AI3" s="18">
        <v>2021</v>
      </c>
      <c r="AJ3" s="18">
        <v>2021</v>
      </c>
      <c r="AK3" s="18">
        <v>2021</v>
      </c>
      <c r="AL3" s="18">
        <v>2021</v>
      </c>
      <c r="AM3" s="18">
        <v>2021</v>
      </c>
      <c r="AN3" s="18">
        <v>2021</v>
      </c>
      <c r="AO3" s="18">
        <v>2021</v>
      </c>
      <c r="AP3" s="18">
        <v>2021</v>
      </c>
      <c r="AQ3" s="18">
        <v>2021</v>
      </c>
      <c r="AR3" s="18">
        <v>2021</v>
      </c>
      <c r="AS3" s="18">
        <v>2021</v>
      </c>
      <c r="AT3" s="18">
        <v>2021</v>
      </c>
      <c r="AU3" s="18">
        <v>2021</v>
      </c>
      <c r="AV3" s="18">
        <v>2021</v>
      </c>
      <c r="AW3" s="18">
        <v>2021</v>
      </c>
      <c r="AX3" s="18">
        <v>2021</v>
      </c>
      <c r="AY3" s="18">
        <v>2021</v>
      </c>
      <c r="AZ3" s="18">
        <v>2021</v>
      </c>
      <c r="BA3" s="18">
        <v>2021</v>
      </c>
      <c r="BB3" s="18">
        <v>2021</v>
      </c>
      <c r="BC3" s="18">
        <v>2021</v>
      </c>
      <c r="BD3" s="18">
        <v>2021</v>
      </c>
      <c r="BE3" s="18">
        <v>2021</v>
      </c>
      <c r="BF3" s="18">
        <v>2021</v>
      </c>
      <c r="BG3" s="18">
        <v>2021</v>
      </c>
      <c r="BH3" s="18">
        <v>2021</v>
      </c>
    </row>
    <row r="4" spans="1:60" x14ac:dyDescent="0.2">
      <c r="B4" s="18" t="s">
        <v>33</v>
      </c>
      <c r="C4" s="18" t="s">
        <v>36</v>
      </c>
      <c r="D4" s="18" t="s">
        <v>175</v>
      </c>
      <c r="E4" s="18" t="s">
        <v>174</v>
      </c>
      <c r="F4" s="18" t="s">
        <v>335</v>
      </c>
      <c r="G4" s="18" t="s">
        <v>336</v>
      </c>
      <c r="H4" s="18" t="s">
        <v>57</v>
      </c>
      <c r="I4" s="18" t="s">
        <v>56</v>
      </c>
      <c r="J4" s="18" t="s">
        <v>299</v>
      </c>
      <c r="K4" s="18" t="s">
        <v>300</v>
      </c>
      <c r="L4" s="18" t="s">
        <v>301</v>
      </c>
      <c r="M4" s="18" t="s">
        <v>302</v>
      </c>
      <c r="N4" s="18" t="s">
        <v>303</v>
      </c>
      <c r="O4" s="18" t="s">
        <v>304</v>
      </c>
      <c r="P4" s="18" t="s">
        <v>305</v>
      </c>
      <c r="Q4" s="18" t="s">
        <v>306</v>
      </c>
      <c r="R4" s="18" t="s">
        <v>307</v>
      </c>
      <c r="S4" s="18" t="s">
        <v>308</v>
      </c>
      <c r="T4" s="18" t="s">
        <v>309</v>
      </c>
      <c r="U4" s="18" t="s">
        <v>310</v>
      </c>
      <c r="V4" s="18" t="s">
        <v>311</v>
      </c>
      <c r="W4" s="18" t="s">
        <v>312</v>
      </c>
      <c r="X4" s="18" t="s">
        <v>313</v>
      </c>
      <c r="Y4" s="18" t="s">
        <v>314</v>
      </c>
      <c r="Z4" s="18" t="s">
        <v>315</v>
      </c>
      <c r="AA4" s="18" t="s">
        <v>282</v>
      </c>
      <c r="AB4" s="18" t="s">
        <v>283</v>
      </c>
      <c r="AC4" s="18" t="s">
        <v>284</v>
      </c>
      <c r="AD4" s="18" t="s">
        <v>285</v>
      </c>
      <c r="AE4" s="18" t="s">
        <v>286</v>
      </c>
      <c r="AF4" s="18" t="s">
        <v>287</v>
      </c>
      <c r="AG4" s="18" t="s">
        <v>288</v>
      </c>
      <c r="AH4" s="18" t="s">
        <v>289</v>
      </c>
      <c r="AI4" s="18" t="s">
        <v>290</v>
      </c>
      <c r="AJ4" s="18" t="s">
        <v>291</v>
      </c>
      <c r="AK4" s="18" t="s">
        <v>292</v>
      </c>
      <c r="AL4" s="18" t="s">
        <v>293</v>
      </c>
      <c r="AM4" s="18" t="s">
        <v>294</v>
      </c>
      <c r="AN4" s="18" t="s">
        <v>295</v>
      </c>
      <c r="AO4" s="18" t="s">
        <v>296</v>
      </c>
      <c r="AP4" s="18" t="s">
        <v>297</v>
      </c>
      <c r="AQ4" s="18" t="s">
        <v>298</v>
      </c>
      <c r="AR4" s="18" t="s">
        <v>316</v>
      </c>
      <c r="AS4" s="18" t="s">
        <v>317</v>
      </c>
      <c r="AT4" s="18" t="s">
        <v>318</v>
      </c>
      <c r="AU4" s="18" t="s">
        <v>319</v>
      </c>
      <c r="AV4" s="18" t="s">
        <v>320</v>
      </c>
      <c r="AW4" s="18" t="s">
        <v>321</v>
      </c>
      <c r="AX4" s="18" t="s">
        <v>322</v>
      </c>
      <c r="AY4" s="18" t="s">
        <v>323</v>
      </c>
      <c r="AZ4" s="18" t="s">
        <v>324</v>
      </c>
      <c r="BA4" s="18" t="s">
        <v>325</v>
      </c>
      <c r="BB4" s="18" t="s">
        <v>326</v>
      </c>
      <c r="BC4" s="18" t="s">
        <v>327</v>
      </c>
      <c r="BD4" s="18" t="s">
        <v>328</v>
      </c>
      <c r="BE4" s="18" t="s">
        <v>329</v>
      </c>
      <c r="BF4" s="18" t="s">
        <v>330</v>
      </c>
      <c r="BG4" s="18" t="s">
        <v>331</v>
      </c>
      <c r="BH4" s="18" t="s">
        <v>332</v>
      </c>
    </row>
    <row r="5" spans="1:60" x14ac:dyDescent="0.2">
      <c r="A5" s="18">
        <v>1</v>
      </c>
      <c r="B5" s="18" t="s">
        <v>0</v>
      </c>
      <c r="C5" s="58">
        <v>1017420</v>
      </c>
      <c r="D5" s="58">
        <v>525189</v>
      </c>
      <c r="E5" s="58">
        <v>492231</v>
      </c>
      <c r="F5" s="18">
        <v>685862</v>
      </c>
      <c r="G5" s="18">
        <v>331558</v>
      </c>
      <c r="H5" s="18">
        <v>220459</v>
      </c>
      <c r="I5" s="18">
        <v>111099</v>
      </c>
      <c r="J5" s="58">
        <v>10320</v>
      </c>
      <c r="K5" s="58">
        <v>12403</v>
      </c>
      <c r="L5" s="58">
        <v>65290</v>
      </c>
      <c r="M5" s="58">
        <v>65319</v>
      </c>
      <c r="N5" s="58">
        <v>58157</v>
      </c>
      <c r="O5" s="58">
        <v>53430</v>
      </c>
      <c r="P5" s="58">
        <v>49848</v>
      </c>
      <c r="Q5" s="58">
        <v>48144</v>
      </c>
      <c r="R5" s="58">
        <v>41237</v>
      </c>
      <c r="S5" s="58">
        <v>34811</v>
      </c>
      <c r="T5" s="58">
        <v>27946</v>
      </c>
      <c r="U5" s="58">
        <v>20927</v>
      </c>
      <c r="V5" s="58">
        <v>15090</v>
      </c>
      <c r="W5" s="58">
        <v>10156</v>
      </c>
      <c r="X5" s="58">
        <v>6219</v>
      </c>
      <c r="Y5" s="58">
        <v>5892</v>
      </c>
      <c r="Z5" s="58">
        <v>525189</v>
      </c>
      <c r="AA5" s="58">
        <v>10265</v>
      </c>
      <c r="AB5" s="58">
        <v>12479</v>
      </c>
      <c r="AC5" s="58">
        <v>65812</v>
      </c>
      <c r="AD5" s="58">
        <v>65836</v>
      </c>
      <c r="AE5" s="58">
        <v>56901</v>
      </c>
      <c r="AF5" s="58">
        <v>51267</v>
      </c>
      <c r="AG5" s="58">
        <v>46252</v>
      </c>
      <c r="AH5" s="58">
        <v>44075</v>
      </c>
      <c r="AI5" s="58">
        <v>36623</v>
      </c>
      <c r="AJ5" s="58">
        <v>30612</v>
      </c>
      <c r="AK5" s="58">
        <v>24349</v>
      </c>
      <c r="AL5" s="58">
        <v>18074</v>
      </c>
      <c r="AM5" s="58">
        <v>12847</v>
      </c>
      <c r="AN5" s="58">
        <v>8424</v>
      </c>
      <c r="AO5" s="58">
        <v>4582</v>
      </c>
      <c r="AP5" s="58">
        <v>3833</v>
      </c>
      <c r="AQ5" s="58">
        <v>492231</v>
      </c>
      <c r="AR5" s="58">
        <v>20585</v>
      </c>
      <c r="AS5" s="58">
        <v>24882</v>
      </c>
      <c r="AT5" s="58">
        <v>131102</v>
      </c>
      <c r="AU5" s="58">
        <v>131155</v>
      </c>
      <c r="AV5" s="58">
        <v>115058</v>
      </c>
      <c r="AW5" s="58">
        <v>104697</v>
      </c>
      <c r="AX5" s="58">
        <v>96100</v>
      </c>
      <c r="AY5" s="58">
        <v>92219</v>
      </c>
      <c r="AZ5" s="58">
        <v>77860</v>
      </c>
      <c r="BA5" s="58">
        <v>65423</v>
      </c>
      <c r="BB5" s="58">
        <v>52295</v>
      </c>
      <c r="BC5" s="58">
        <v>39001</v>
      </c>
      <c r="BD5" s="58">
        <v>27937</v>
      </c>
      <c r="BE5" s="58">
        <v>18580</v>
      </c>
      <c r="BF5" s="58">
        <v>10801</v>
      </c>
      <c r="BG5" s="58">
        <v>9725</v>
      </c>
      <c r="BH5" s="18">
        <v>1017420</v>
      </c>
    </row>
    <row r="6" spans="1:60" x14ac:dyDescent="0.2">
      <c r="A6" s="18">
        <v>2</v>
      </c>
      <c r="B6" s="18" t="s">
        <v>1</v>
      </c>
      <c r="C6" s="58">
        <v>2919208</v>
      </c>
      <c r="D6" s="58">
        <v>1457938</v>
      </c>
      <c r="E6" s="58">
        <v>1461270</v>
      </c>
      <c r="F6" s="18">
        <v>2520870</v>
      </c>
      <c r="G6" s="18">
        <v>398338</v>
      </c>
      <c r="H6" s="18">
        <v>225527</v>
      </c>
      <c r="I6" s="18">
        <v>172811</v>
      </c>
      <c r="J6" s="58">
        <v>19355</v>
      </c>
      <c r="K6" s="58">
        <v>28498</v>
      </c>
      <c r="L6" s="58">
        <v>167754</v>
      </c>
      <c r="M6" s="58">
        <v>172370</v>
      </c>
      <c r="N6" s="58">
        <v>159563</v>
      </c>
      <c r="O6" s="58">
        <v>147543</v>
      </c>
      <c r="P6" s="58">
        <v>142868</v>
      </c>
      <c r="Q6" s="58">
        <v>143758</v>
      </c>
      <c r="R6" s="58">
        <v>123357</v>
      </c>
      <c r="S6" s="58">
        <v>103546</v>
      </c>
      <c r="T6" s="58">
        <v>82124</v>
      </c>
      <c r="U6" s="58">
        <v>61988</v>
      </c>
      <c r="V6" s="58">
        <v>43736</v>
      </c>
      <c r="W6" s="58">
        <v>28977</v>
      </c>
      <c r="X6" s="58">
        <v>17564</v>
      </c>
      <c r="Y6" s="58">
        <v>14937</v>
      </c>
      <c r="Z6" s="58">
        <v>1457938</v>
      </c>
      <c r="AA6" s="58">
        <v>18857</v>
      </c>
      <c r="AB6" s="58">
        <v>28698</v>
      </c>
      <c r="AC6" s="58">
        <v>174704</v>
      </c>
      <c r="AD6" s="58">
        <v>182443</v>
      </c>
      <c r="AE6" s="58">
        <v>166968</v>
      </c>
      <c r="AF6" s="58">
        <v>154280</v>
      </c>
      <c r="AG6" s="58">
        <v>147029</v>
      </c>
      <c r="AH6" s="58">
        <v>149234</v>
      </c>
      <c r="AI6" s="58">
        <v>126808</v>
      </c>
      <c r="AJ6" s="58">
        <v>100510</v>
      </c>
      <c r="AK6" s="58">
        <v>75119</v>
      </c>
      <c r="AL6" s="58">
        <v>53996</v>
      </c>
      <c r="AM6" s="58">
        <v>36713</v>
      </c>
      <c r="AN6" s="58">
        <v>22971</v>
      </c>
      <c r="AO6" s="58">
        <v>13041</v>
      </c>
      <c r="AP6" s="58">
        <v>9899</v>
      </c>
      <c r="AQ6" s="58">
        <v>1461270</v>
      </c>
      <c r="AR6" s="58">
        <v>38212</v>
      </c>
      <c r="AS6" s="58">
        <v>57196</v>
      </c>
      <c r="AT6" s="58">
        <v>342458</v>
      </c>
      <c r="AU6" s="58">
        <v>354813</v>
      </c>
      <c r="AV6" s="58">
        <v>326531</v>
      </c>
      <c r="AW6" s="58">
        <v>301823</v>
      </c>
      <c r="AX6" s="58">
        <v>289897</v>
      </c>
      <c r="AY6" s="58">
        <v>292992</v>
      </c>
      <c r="AZ6" s="58">
        <v>250165</v>
      </c>
      <c r="BA6" s="58">
        <v>204056</v>
      </c>
      <c r="BB6" s="58">
        <v>157243</v>
      </c>
      <c r="BC6" s="58">
        <v>115984</v>
      </c>
      <c r="BD6" s="58">
        <v>80449</v>
      </c>
      <c r="BE6" s="58">
        <v>51948</v>
      </c>
      <c r="BF6" s="58">
        <v>30605</v>
      </c>
      <c r="BG6" s="58">
        <v>24836</v>
      </c>
      <c r="BH6" s="18">
        <v>2919208</v>
      </c>
    </row>
    <row r="7" spans="1:60" x14ac:dyDescent="0.2">
      <c r="A7" s="18">
        <v>3</v>
      </c>
      <c r="B7" s="18" t="s">
        <v>2</v>
      </c>
      <c r="C7" s="58">
        <v>561667</v>
      </c>
      <c r="D7" s="58">
        <v>273789</v>
      </c>
      <c r="E7" s="58">
        <v>287878</v>
      </c>
      <c r="F7" s="18">
        <v>384917</v>
      </c>
      <c r="G7" s="18">
        <v>176750</v>
      </c>
      <c r="H7" s="18">
        <v>128995</v>
      </c>
      <c r="I7" s="18">
        <v>47755</v>
      </c>
      <c r="J7" s="58">
        <v>4314</v>
      </c>
      <c r="K7" s="58">
        <v>5852</v>
      </c>
      <c r="L7" s="58">
        <v>31515</v>
      </c>
      <c r="M7" s="58">
        <v>32626</v>
      </c>
      <c r="N7" s="58">
        <v>32545</v>
      </c>
      <c r="O7" s="58">
        <v>30854</v>
      </c>
      <c r="P7" s="58">
        <v>28903</v>
      </c>
      <c r="Q7" s="58">
        <v>26840</v>
      </c>
      <c r="R7" s="58">
        <v>21804</v>
      </c>
      <c r="S7" s="58">
        <v>18143</v>
      </c>
      <c r="T7" s="58">
        <v>14170</v>
      </c>
      <c r="U7" s="58">
        <v>10021</v>
      </c>
      <c r="V7" s="58">
        <v>6775</v>
      </c>
      <c r="W7" s="58">
        <v>4422</v>
      </c>
      <c r="X7" s="58">
        <v>2757</v>
      </c>
      <c r="Y7" s="58">
        <v>2248</v>
      </c>
      <c r="Z7" s="58">
        <v>273789</v>
      </c>
      <c r="AA7" s="58">
        <v>4355</v>
      </c>
      <c r="AB7" s="58">
        <v>6074</v>
      </c>
      <c r="AC7" s="58">
        <v>33600</v>
      </c>
      <c r="AD7" s="58">
        <v>35338</v>
      </c>
      <c r="AE7" s="58">
        <v>35234</v>
      </c>
      <c r="AF7" s="58">
        <v>33383</v>
      </c>
      <c r="AG7" s="58">
        <v>31348</v>
      </c>
      <c r="AH7" s="58">
        <v>28458</v>
      </c>
      <c r="AI7" s="58">
        <v>23037</v>
      </c>
      <c r="AJ7" s="58">
        <v>18302</v>
      </c>
      <c r="AK7" s="58">
        <v>14151</v>
      </c>
      <c r="AL7" s="58">
        <v>9988</v>
      </c>
      <c r="AM7" s="58">
        <v>6504</v>
      </c>
      <c r="AN7" s="58">
        <v>4143</v>
      </c>
      <c r="AO7" s="58">
        <v>2254</v>
      </c>
      <c r="AP7" s="58">
        <v>1709</v>
      </c>
      <c r="AQ7" s="58">
        <v>287878</v>
      </c>
      <c r="AR7" s="58">
        <v>8669</v>
      </c>
      <c r="AS7" s="58">
        <v>11926</v>
      </c>
      <c r="AT7" s="58">
        <v>65115</v>
      </c>
      <c r="AU7" s="58">
        <v>67964</v>
      </c>
      <c r="AV7" s="58">
        <v>67779</v>
      </c>
      <c r="AW7" s="58">
        <v>64237</v>
      </c>
      <c r="AX7" s="58">
        <v>60251</v>
      </c>
      <c r="AY7" s="58">
        <v>55298</v>
      </c>
      <c r="AZ7" s="58">
        <v>44841</v>
      </c>
      <c r="BA7" s="58">
        <v>36445</v>
      </c>
      <c r="BB7" s="58">
        <v>28321</v>
      </c>
      <c r="BC7" s="58">
        <v>20009</v>
      </c>
      <c r="BD7" s="58">
        <v>13279</v>
      </c>
      <c r="BE7" s="58">
        <v>8565</v>
      </c>
      <c r="BF7" s="58">
        <v>5011</v>
      </c>
      <c r="BG7" s="58">
        <v>3957</v>
      </c>
      <c r="BH7" s="18">
        <v>561667</v>
      </c>
    </row>
    <row r="8" spans="1:60" x14ac:dyDescent="0.2">
      <c r="A8" s="18">
        <v>4</v>
      </c>
      <c r="B8" s="18" t="s">
        <v>3</v>
      </c>
      <c r="C8" s="58">
        <v>668755</v>
      </c>
      <c r="D8" s="58">
        <v>340417</v>
      </c>
      <c r="E8" s="58">
        <v>328338</v>
      </c>
      <c r="F8" s="18">
        <v>418483</v>
      </c>
      <c r="G8" s="18">
        <v>250272</v>
      </c>
      <c r="H8" s="18">
        <v>98694</v>
      </c>
      <c r="I8" s="18">
        <v>151578</v>
      </c>
      <c r="J8" s="58">
        <v>5324</v>
      </c>
      <c r="K8" s="58">
        <v>7019</v>
      </c>
      <c r="L8" s="58">
        <v>39470</v>
      </c>
      <c r="M8" s="58">
        <v>41161</v>
      </c>
      <c r="N8" s="58">
        <v>39330</v>
      </c>
      <c r="O8" s="58">
        <v>37490</v>
      </c>
      <c r="P8" s="58">
        <v>34393</v>
      </c>
      <c r="Q8" s="58">
        <v>31775</v>
      </c>
      <c r="R8" s="58">
        <v>26512</v>
      </c>
      <c r="S8" s="58">
        <v>22360</v>
      </c>
      <c r="T8" s="58">
        <v>17677</v>
      </c>
      <c r="U8" s="58">
        <v>13695</v>
      </c>
      <c r="V8" s="58">
        <v>9847</v>
      </c>
      <c r="W8" s="58">
        <v>6236</v>
      </c>
      <c r="X8" s="58">
        <v>4291</v>
      </c>
      <c r="Y8" s="58">
        <v>3837</v>
      </c>
      <c r="Z8" s="58">
        <v>340417</v>
      </c>
      <c r="AA8" s="58">
        <v>5305</v>
      </c>
      <c r="AB8" s="58">
        <v>7064</v>
      </c>
      <c r="AC8" s="58">
        <v>39497</v>
      </c>
      <c r="AD8" s="58">
        <v>41063</v>
      </c>
      <c r="AE8" s="58">
        <v>37759</v>
      </c>
      <c r="AF8" s="58">
        <v>35504</v>
      </c>
      <c r="AG8" s="58">
        <v>32303</v>
      </c>
      <c r="AH8" s="58">
        <v>30284</v>
      </c>
      <c r="AI8" s="58">
        <v>25343</v>
      </c>
      <c r="AJ8" s="58">
        <v>21411</v>
      </c>
      <c r="AK8" s="58">
        <v>16956</v>
      </c>
      <c r="AL8" s="58">
        <v>13198</v>
      </c>
      <c r="AM8" s="58">
        <v>9267</v>
      </c>
      <c r="AN8" s="58">
        <v>6065</v>
      </c>
      <c r="AO8" s="58">
        <v>4029</v>
      </c>
      <c r="AP8" s="58">
        <v>3290</v>
      </c>
      <c r="AQ8" s="58">
        <v>328338</v>
      </c>
      <c r="AR8" s="58">
        <v>10629</v>
      </c>
      <c r="AS8" s="58">
        <v>14083</v>
      </c>
      <c r="AT8" s="58">
        <v>78967</v>
      </c>
      <c r="AU8" s="58">
        <v>82224</v>
      </c>
      <c r="AV8" s="58">
        <v>77089</v>
      </c>
      <c r="AW8" s="58">
        <v>72994</v>
      </c>
      <c r="AX8" s="58">
        <v>66696</v>
      </c>
      <c r="AY8" s="58">
        <v>62059</v>
      </c>
      <c r="AZ8" s="58">
        <v>51855</v>
      </c>
      <c r="BA8" s="58">
        <v>43771</v>
      </c>
      <c r="BB8" s="58">
        <v>34633</v>
      </c>
      <c r="BC8" s="58">
        <v>26893</v>
      </c>
      <c r="BD8" s="58">
        <v>19114</v>
      </c>
      <c r="BE8" s="58">
        <v>12301</v>
      </c>
      <c r="BF8" s="58">
        <v>8320</v>
      </c>
      <c r="BG8" s="58">
        <v>7127</v>
      </c>
      <c r="BH8" s="18">
        <v>668755</v>
      </c>
    </row>
    <row r="9" spans="1:60" x14ac:dyDescent="0.2">
      <c r="A9" s="18">
        <v>5</v>
      </c>
      <c r="B9" s="18" t="s">
        <v>4</v>
      </c>
      <c r="C9" s="58">
        <v>2262076</v>
      </c>
      <c r="D9" s="58">
        <v>1145708</v>
      </c>
      <c r="E9" s="58">
        <v>1116368</v>
      </c>
      <c r="F9" s="18">
        <v>1857105</v>
      </c>
      <c r="G9" s="18">
        <v>404971</v>
      </c>
      <c r="H9" s="18">
        <v>256545</v>
      </c>
      <c r="I9" s="18">
        <v>148426</v>
      </c>
      <c r="J9" s="58">
        <v>17809</v>
      </c>
      <c r="K9" s="58">
        <v>24966</v>
      </c>
      <c r="L9" s="58">
        <v>136663</v>
      </c>
      <c r="M9" s="58">
        <v>134453</v>
      </c>
      <c r="N9" s="58">
        <v>117595</v>
      </c>
      <c r="O9" s="58">
        <v>110861</v>
      </c>
      <c r="P9" s="58">
        <v>111172</v>
      </c>
      <c r="Q9" s="58">
        <v>111826</v>
      </c>
      <c r="R9" s="58">
        <v>95567</v>
      </c>
      <c r="S9" s="58">
        <v>81472</v>
      </c>
      <c r="T9" s="58">
        <v>66297</v>
      </c>
      <c r="U9" s="58">
        <v>48314</v>
      </c>
      <c r="V9" s="58">
        <v>36294</v>
      </c>
      <c r="W9" s="58">
        <v>24232</v>
      </c>
      <c r="X9" s="58">
        <v>15504</v>
      </c>
      <c r="Y9" s="58">
        <v>12683</v>
      </c>
      <c r="Z9" s="58">
        <v>1145708</v>
      </c>
      <c r="AA9" s="58">
        <v>19236</v>
      </c>
      <c r="AB9" s="58">
        <v>26376</v>
      </c>
      <c r="AC9" s="58">
        <v>140487</v>
      </c>
      <c r="AD9" s="58">
        <v>137783</v>
      </c>
      <c r="AE9" s="58">
        <v>119842</v>
      </c>
      <c r="AF9" s="58">
        <v>111057</v>
      </c>
      <c r="AG9" s="58">
        <v>110291</v>
      </c>
      <c r="AH9" s="58">
        <v>107245</v>
      </c>
      <c r="AI9" s="58">
        <v>90538</v>
      </c>
      <c r="AJ9" s="58">
        <v>75141</v>
      </c>
      <c r="AK9" s="58">
        <v>60439</v>
      </c>
      <c r="AL9" s="58">
        <v>44109</v>
      </c>
      <c r="AM9" s="58">
        <v>32216</v>
      </c>
      <c r="AN9" s="58">
        <v>20653</v>
      </c>
      <c r="AO9" s="58">
        <v>12288</v>
      </c>
      <c r="AP9" s="58">
        <v>8667</v>
      </c>
      <c r="AQ9" s="58">
        <v>1116368</v>
      </c>
      <c r="AR9" s="58">
        <v>37045</v>
      </c>
      <c r="AS9" s="58">
        <v>51342</v>
      </c>
      <c r="AT9" s="58">
        <v>277150</v>
      </c>
      <c r="AU9" s="58">
        <v>272236</v>
      </c>
      <c r="AV9" s="58">
        <v>237437</v>
      </c>
      <c r="AW9" s="58">
        <v>221918</v>
      </c>
      <c r="AX9" s="58">
        <v>221463</v>
      </c>
      <c r="AY9" s="58">
        <v>219071</v>
      </c>
      <c r="AZ9" s="58">
        <v>186105</v>
      </c>
      <c r="BA9" s="58">
        <v>156613</v>
      </c>
      <c r="BB9" s="58">
        <v>126736</v>
      </c>
      <c r="BC9" s="58">
        <v>92423</v>
      </c>
      <c r="BD9" s="58">
        <v>68510</v>
      </c>
      <c r="BE9" s="58">
        <v>44885</v>
      </c>
      <c r="BF9" s="58">
        <v>27792</v>
      </c>
      <c r="BG9" s="58">
        <v>21350</v>
      </c>
      <c r="BH9" s="18">
        <v>2262076</v>
      </c>
    </row>
    <row r="10" spans="1:60" x14ac:dyDescent="0.2">
      <c r="A10" s="18">
        <v>6</v>
      </c>
      <c r="B10" s="18" t="s">
        <v>5</v>
      </c>
      <c r="C10" s="58">
        <v>556321</v>
      </c>
      <c r="D10" s="58">
        <v>283591</v>
      </c>
      <c r="E10" s="58">
        <v>272730</v>
      </c>
      <c r="F10" s="18">
        <v>346257</v>
      </c>
      <c r="G10" s="18">
        <v>210064</v>
      </c>
      <c r="H10" s="18">
        <v>171398</v>
      </c>
      <c r="I10" s="18">
        <v>38666</v>
      </c>
      <c r="J10" s="58">
        <v>3927</v>
      </c>
      <c r="K10" s="58">
        <v>5451</v>
      </c>
      <c r="L10" s="58">
        <v>30777</v>
      </c>
      <c r="M10" s="58">
        <v>31741</v>
      </c>
      <c r="N10" s="58">
        <v>30988</v>
      </c>
      <c r="O10" s="58">
        <v>28978</v>
      </c>
      <c r="P10" s="58">
        <v>27274</v>
      </c>
      <c r="Q10" s="58">
        <v>26446</v>
      </c>
      <c r="R10" s="58">
        <v>23223</v>
      </c>
      <c r="S10" s="58">
        <v>20374</v>
      </c>
      <c r="T10" s="58">
        <v>17139</v>
      </c>
      <c r="U10" s="58">
        <v>13174</v>
      </c>
      <c r="V10" s="58">
        <v>9572</v>
      </c>
      <c r="W10" s="58">
        <v>6608</v>
      </c>
      <c r="X10" s="58">
        <v>4080</v>
      </c>
      <c r="Y10" s="58">
        <v>3839</v>
      </c>
      <c r="Z10" s="58">
        <v>283591</v>
      </c>
      <c r="AA10" s="58">
        <v>3967</v>
      </c>
      <c r="AB10" s="58">
        <v>5464</v>
      </c>
      <c r="AC10" s="58">
        <v>31248</v>
      </c>
      <c r="AD10" s="58">
        <v>32380</v>
      </c>
      <c r="AE10" s="58">
        <v>29949</v>
      </c>
      <c r="AF10" s="58">
        <v>28101</v>
      </c>
      <c r="AG10" s="58">
        <v>26311</v>
      </c>
      <c r="AH10" s="58">
        <v>25732</v>
      </c>
      <c r="AI10" s="58">
        <v>21474</v>
      </c>
      <c r="AJ10" s="58">
        <v>19046</v>
      </c>
      <c r="AK10" s="58">
        <v>16096</v>
      </c>
      <c r="AL10" s="58">
        <v>12256</v>
      </c>
      <c r="AM10" s="58">
        <v>8880</v>
      </c>
      <c r="AN10" s="58">
        <v>5768</v>
      </c>
      <c r="AO10" s="58">
        <v>3364</v>
      </c>
      <c r="AP10" s="58">
        <v>2694</v>
      </c>
      <c r="AQ10" s="58">
        <v>272730</v>
      </c>
      <c r="AR10" s="58">
        <v>7894</v>
      </c>
      <c r="AS10" s="58">
        <v>10915</v>
      </c>
      <c r="AT10" s="58">
        <v>62025</v>
      </c>
      <c r="AU10" s="58">
        <v>64121</v>
      </c>
      <c r="AV10" s="58">
        <v>60937</v>
      </c>
      <c r="AW10" s="58">
        <v>57079</v>
      </c>
      <c r="AX10" s="58">
        <v>53585</v>
      </c>
      <c r="AY10" s="58">
        <v>52178</v>
      </c>
      <c r="AZ10" s="58">
        <v>44697</v>
      </c>
      <c r="BA10" s="58">
        <v>39420</v>
      </c>
      <c r="BB10" s="58">
        <v>33235</v>
      </c>
      <c r="BC10" s="58">
        <v>25430</v>
      </c>
      <c r="BD10" s="58">
        <v>18452</v>
      </c>
      <c r="BE10" s="58">
        <v>12376</v>
      </c>
      <c r="BF10" s="58">
        <v>7444</v>
      </c>
      <c r="BG10" s="58">
        <v>6533</v>
      </c>
      <c r="BH10" s="18">
        <v>556321</v>
      </c>
    </row>
    <row r="11" spans="1:60" x14ac:dyDescent="0.2">
      <c r="A11" s="18">
        <v>7</v>
      </c>
      <c r="B11" s="18" t="s">
        <v>6</v>
      </c>
      <c r="C11" s="58">
        <v>3781967</v>
      </c>
      <c r="D11" s="58">
        <v>1963087</v>
      </c>
      <c r="E11" s="58">
        <v>1818880</v>
      </c>
      <c r="F11" s="18">
        <v>1488859</v>
      </c>
      <c r="G11" s="18">
        <v>2293108</v>
      </c>
      <c r="H11" s="18">
        <v>491359</v>
      </c>
      <c r="I11" s="18">
        <v>1801749</v>
      </c>
      <c r="J11" s="58">
        <v>27996</v>
      </c>
      <c r="K11" s="58">
        <v>43776</v>
      </c>
      <c r="L11" s="58">
        <v>266536</v>
      </c>
      <c r="M11" s="58">
        <v>269721</v>
      </c>
      <c r="N11" s="58">
        <v>237780</v>
      </c>
      <c r="O11" s="58">
        <v>214995</v>
      </c>
      <c r="P11" s="58">
        <v>193735</v>
      </c>
      <c r="Q11" s="58">
        <v>166737</v>
      </c>
      <c r="R11" s="58">
        <v>137818</v>
      </c>
      <c r="S11" s="58">
        <v>115444</v>
      </c>
      <c r="T11" s="58">
        <v>89996</v>
      </c>
      <c r="U11" s="58">
        <v>68314</v>
      </c>
      <c r="V11" s="58">
        <v>47698</v>
      </c>
      <c r="W11" s="58">
        <v>37361</v>
      </c>
      <c r="X11" s="58">
        <v>24685</v>
      </c>
      <c r="Y11" s="58">
        <v>20495</v>
      </c>
      <c r="Z11" s="58">
        <v>1963087</v>
      </c>
      <c r="AA11" s="58">
        <v>28316</v>
      </c>
      <c r="AB11" s="58">
        <v>42936</v>
      </c>
      <c r="AC11" s="58">
        <v>259171</v>
      </c>
      <c r="AD11" s="58">
        <v>254680</v>
      </c>
      <c r="AE11" s="58">
        <v>214976</v>
      </c>
      <c r="AF11" s="58">
        <v>193115</v>
      </c>
      <c r="AG11" s="58">
        <v>173846</v>
      </c>
      <c r="AH11" s="58">
        <v>150302</v>
      </c>
      <c r="AI11" s="58">
        <v>124242</v>
      </c>
      <c r="AJ11" s="58">
        <v>104119</v>
      </c>
      <c r="AK11" s="58">
        <v>84446</v>
      </c>
      <c r="AL11" s="58">
        <v>66052</v>
      </c>
      <c r="AM11" s="58">
        <v>47107</v>
      </c>
      <c r="AN11" s="58">
        <v>34929</v>
      </c>
      <c r="AO11" s="58">
        <v>22591</v>
      </c>
      <c r="AP11" s="58">
        <v>18052</v>
      </c>
      <c r="AQ11" s="58">
        <v>1818880</v>
      </c>
      <c r="AR11" s="58">
        <v>56312</v>
      </c>
      <c r="AS11" s="58">
        <v>86712</v>
      </c>
      <c r="AT11" s="58">
        <v>525707</v>
      </c>
      <c r="AU11" s="58">
        <v>524401</v>
      </c>
      <c r="AV11" s="58">
        <v>452756</v>
      </c>
      <c r="AW11" s="58">
        <v>408110</v>
      </c>
      <c r="AX11" s="58">
        <v>367581</v>
      </c>
      <c r="AY11" s="58">
        <v>317039</v>
      </c>
      <c r="AZ11" s="58">
        <v>262060</v>
      </c>
      <c r="BA11" s="58">
        <v>219563</v>
      </c>
      <c r="BB11" s="58">
        <v>174442</v>
      </c>
      <c r="BC11" s="58">
        <v>134366</v>
      </c>
      <c r="BD11" s="58">
        <v>94805</v>
      </c>
      <c r="BE11" s="58">
        <v>72290</v>
      </c>
      <c r="BF11" s="58">
        <v>47276</v>
      </c>
      <c r="BG11" s="58">
        <v>38547</v>
      </c>
      <c r="BH11" s="18">
        <v>3781967</v>
      </c>
    </row>
    <row r="12" spans="1:60" x14ac:dyDescent="0.2">
      <c r="A12" s="18">
        <v>8</v>
      </c>
      <c r="B12" s="18" t="s">
        <v>7</v>
      </c>
      <c r="C12" s="58">
        <v>2894490</v>
      </c>
      <c r="D12" s="58">
        <v>1468714</v>
      </c>
      <c r="E12" s="58">
        <v>1425776</v>
      </c>
      <c r="F12" s="18">
        <v>2399162</v>
      </c>
      <c r="G12" s="18">
        <v>495328</v>
      </c>
      <c r="H12" s="18">
        <v>194710</v>
      </c>
      <c r="I12" s="18">
        <v>300618</v>
      </c>
      <c r="J12" s="58">
        <v>22897</v>
      </c>
      <c r="K12" s="58">
        <v>30283</v>
      </c>
      <c r="L12" s="58">
        <v>167578</v>
      </c>
      <c r="M12" s="58">
        <v>169839</v>
      </c>
      <c r="N12" s="58">
        <v>155444</v>
      </c>
      <c r="O12" s="58">
        <v>141981</v>
      </c>
      <c r="P12" s="58">
        <v>134832</v>
      </c>
      <c r="Q12" s="58">
        <v>140659</v>
      </c>
      <c r="R12" s="58">
        <v>125560</v>
      </c>
      <c r="S12" s="58">
        <v>107922</v>
      </c>
      <c r="T12" s="58">
        <v>87286</v>
      </c>
      <c r="U12" s="58">
        <v>63344</v>
      </c>
      <c r="V12" s="58">
        <v>48121</v>
      </c>
      <c r="W12" s="58">
        <v>33146</v>
      </c>
      <c r="X12" s="58">
        <v>22084</v>
      </c>
      <c r="Y12" s="58">
        <v>17738</v>
      </c>
      <c r="Z12" s="58">
        <v>1468714</v>
      </c>
      <c r="AA12" s="58">
        <v>22816</v>
      </c>
      <c r="AB12" s="58">
        <v>30168</v>
      </c>
      <c r="AC12" s="58">
        <v>169550</v>
      </c>
      <c r="AD12" s="58">
        <v>172690</v>
      </c>
      <c r="AE12" s="58">
        <v>156925</v>
      </c>
      <c r="AF12" s="58">
        <v>142817</v>
      </c>
      <c r="AG12" s="58">
        <v>135581</v>
      </c>
      <c r="AH12" s="58">
        <v>139021</v>
      </c>
      <c r="AI12" s="58">
        <v>121631</v>
      </c>
      <c r="AJ12" s="58">
        <v>100603</v>
      </c>
      <c r="AK12" s="58">
        <v>77941</v>
      </c>
      <c r="AL12" s="58">
        <v>56027</v>
      </c>
      <c r="AM12" s="58">
        <v>40988</v>
      </c>
      <c r="AN12" s="58">
        <v>27960</v>
      </c>
      <c r="AO12" s="58">
        <v>17781</v>
      </c>
      <c r="AP12" s="58">
        <v>13277</v>
      </c>
      <c r="AQ12" s="58">
        <v>1425776</v>
      </c>
      <c r="AR12" s="58">
        <v>45713</v>
      </c>
      <c r="AS12" s="58">
        <v>60451</v>
      </c>
      <c r="AT12" s="58">
        <v>337128</v>
      </c>
      <c r="AU12" s="58">
        <v>342529</v>
      </c>
      <c r="AV12" s="58">
        <v>312369</v>
      </c>
      <c r="AW12" s="58">
        <v>284798</v>
      </c>
      <c r="AX12" s="58">
        <v>270413</v>
      </c>
      <c r="AY12" s="58">
        <v>279680</v>
      </c>
      <c r="AZ12" s="58">
        <v>247191</v>
      </c>
      <c r="BA12" s="58">
        <v>208525</v>
      </c>
      <c r="BB12" s="58">
        <v>165227</v>
      </c>
      <c r="BC12" s="58">
        <v>119371</v>
      </c>
      <c r="BD12" s="58">
        <v>89109</v>
      </c>
      <c r="BE12" s="58">
        <v>61106</v>
      </c>
      <c r="BF12" s="58">
        <v>39865</v>
      </c>
      <c r="BG12" s="58">
        <v>31015</v>
      </c>
      <c r="BH12" s="18">
        <v>2894490</v>
      </c>
    </row>
    <row r="13" spans="1:60" x14ac:dyDescent="0.2">
      <c r="A13" s="18">
        <v>9</v>
      </c>
      <c r="B13" s="18" t="s">
        <v>8</v>
      </c>
      <c r="C13" s="58">
        <v>7772518</v>
      </c>
      <c r="D13" s="58">
        <v>4117534</v>
      </c>
      <c r="E13" s="58">
        <v>3654984</v>
      </c>
      <c r="F13" s="18">
        <v>7602342</v>
      </c>
      <c r="G13" s="18">
        <v>170176</v>
      </c>
      <c r="H13" s="18">
        <v>168165</v>
      </c>
      <c r="I13" s="18">
        <v>2011</v>
      </c>
      <c r="J13" s="58">
        <v>40335</v>
      </c>
      <c r="K13" s="58">
        <v>62091</v>
      </c>
      <c r="L13" s="58">
        <v>375885</v>
      </c>
      <c r="M13" s="58">
        <v>416429</v>
      </c>
      <c r="N13" s="58">
        <v>412357</v>
      </c>
      <c r="O13" s="58">
        <v>395069</v>
      </c>
      <c r="P13" s="58">
        <v>376069</v>
      </c>
      <c r="Q13" s="58">
        <v>397410</v>
      </c>
      <c r="R13" s="58">
        <v>360474</v>
      </c>
      <c r="S13" s="58">
        <v>324787</v>
      </c>
      <c r="T13" s="58">
        <v>282310</v>
      </c>
      <c r="U13" s="58">
        <v>224076</v>
      </c>
      <c r="V13" s="58">
        <v>168856</v>
      </c>
      <c r="W13" s="58">
        <v>118942</v>
      </c>
      <c r="X13" s="58">
        <v>78886</v>
      </c>
      <c r="Y13" s="58">
        <v>83558</v>
      </c>
      <c r="Z13" s="58">
        <v>4117534</v>
      </c>
      <c r="AA13" s="58">
        <v>41552</v>
      </c>
      <c r="AB13" s="58">
        <v>63033</v>
      </c>
      <c r="AC13" s="58">
        <v>378714</v>
      </c>
      <c r="AD13" s="58">
        <v>417676</v>
      </c>
      <c r="AE13" s="58">
        <v>399599</v>
      </c>
      <c r="AF13" s="58">
        <v>372876</v>
      </c>
      <c r="AG13" s="58">
        <v>342588</v>
      </c>
      <c r="AH13" s="58">
        <v>352432</v>
      </c>
      <c r="AI13" s="58">
        <v>309628</v>
      </c>
      <c r="AJ13" s="58">
        <v>269569</v>
      </c>
      <c r="AK13" s="58">
        <v>227632</v>
      </c>
      <c r="AL13" s="58">
        <v>174729</v>
      </c>
      <c r="AM13" s="58">
        <v>126955</v>
      </c>
      <c r="AN13" s="58">
        <v>83923</v>
      </c>
      <c r="AO13" s="58">
        <v>50927</v>
      </c>
      <c r="AP13" s="58">
        <v>43151</v>
      </c>
      <c r="AQ13" s="58">
        <v>3654984</v>
      </c>
      <c r="AR13" s="58">
        <v>81887</v>
      </c>
      <c r="AS13" s="58">
        <v>125124</v>
      </c>
      <c r="AT13" s="58">
        <v>754599</v>
      </c>
      <c r="AU13" s="58">
        <v>834105</v>
      </c>
      <c r="AV13" s="58">
        <v>811956</v>
      </c>
      <c r="AW13" s="58">
        <v>767945</v>
      </c>
      <c r="AX13" s="58">
        <v>718657</v>
      </c>
      <c r="AY13" s="58">
        <v>749842</v>
      </c>
      <c r="AZ13" s="58">
        <v>670102</v>
      </c>
      <c r="BA13" s="58">
        <v>594356</v>
      </c>
      <c r="BB13" s="58">
        <v>509942</v>
      </c>
      <c r="BC13" s="58">
        <v>398805</v>
      </c>
      <c r="BD13" s="58">
        <v>295811</v>
      </c>
      <c r="BE13" s="58">
        <v>202865</v>
      </c>
      <c r="BF13" s="58">
        <v>129813</v>
      </c>
      <c r="BG13" s="58">
        <v>126709</v>
      </c>
      <c r="BH13" s="18">
        <v>7772518</v>
      </c>
    </row>
    <row r="14" spans="1:60" x14ac:dyDescent="0.2">
      <c r="A14" s="18">
        <v>10</v>
      </c>
      <c r="B14" s="18" t="s">
        <v>9</v>
      </c>
      <c r="C14" s="58">
        <v>1333864</v>
      </c>
      <c r="D14" s="58">
        <v>681312</v>
      </c>
      <c r="E14" s="58">
        <v>652552</v>
      </c>
      <c r="F14" s="18">
        <v>875900</v>
      </c>
      <c r="G14" s="18">
        <v>457964</v>
      </c>
      <c r="H14" s="18">
        <v>126322</v>
      </c>
      <c r="I14" s="18">
        <v>331642</v>
      </c>
      <c r="J14" s="58">
        <v>10759</v>
      </c>
      <c r="K14" s="58">
        <v>13898</v>
      </c>
      <c r="L14" s="58">
        <v>80533</v>
      </c>
      <c r="M14" s="58">
        <v>81272</v>
      </c>
      <c r="N14" s="58">
        <v>73064</v>
      </c>
      <c r="O14" s="58">
        <v>65024</v>
      </c>
      <c r="P14" s="58">
        <v>61804</v>
      </c>
      <c r="Q14" s="58">
        <v>61345</v>
      </c>
      <c r="R14" s="58">
        <v>54465</v>
      </c>
      <c r="S14" s="58">
        <v>48124</v>
      </c>
      <c r="T14" s="58">
        <v>39282</v>
      </c>
      <c r="U14" s="58">
        <v>30158</v>
      </c>
      <c r="V14" s="58">
        <v>23030</v>
      </c>
      <c r="W14" s="58">
        <v>16411</v>
      </c>
      <c r="X14" s="58">
        <v>11372</v>
      </c>
      <c r="Y14" s="58">
        <v>10771</v>
      </c>
      <c r="Z14" s="58">
        <v>681312</v>
      </c>
      <c r="AA14" s="58">
        <v>10561</v>
      </c>
      <c r="AB14" s="58">
        <v>14194</v>
      </c>
      <c r="AC14" s="58">
        <v>80989</v>
      </c>
      <c r="AD14" s="58">
        <v>81446</v>
      </c>
      <c r="AE14" s="58">
        <v>71329</v>
      </c>
      <c r="AF14" s="58">
        <v>62655</v>
      </c>
      <c r="AG14" s="58">
        <v>59868</v>
      </c>
      <c r="AH14" s="58">
        <v>58678</v>
      </c>
      <c r="AI14" s="58">
        <v>50365</v>
      </c>
      <c r="AJ14" s="58">
        <v>43755</v>
      </c>
      <c r="AK14" s="58">
        <v>35804</v>
      </c>
      <c r="AL14" s="58">
        <v>27519</v>
      </c>
      <c r="AM14" s="58">
        <v>21258</v>
      </c>
      <c r="AN14" s="58">
        <v>14950</v>
      </c>
      <c r="AO14" s="58">
        <v>10249</v>
      </c>
      <c r="AP14" s="58">
        <v>8932</v>
      </c>
      <c r="AQ14" s="58">
        <v>652552</v>
      </c>
      <c r="AR14" s="58">
        <v>21320</v>
      </c>
      <c r="AS14" s="58">
        <v>28092</v>
      </c>
      <c r="AT14" s="58">
        <v>161522</v>
      </c>
      <c r="AU14" s="58">
        <v>162718</v>
      </c>
      <c r="AV14" s="58">
        <v>144393</v>
      </c>
      <c r="AW14" s="58">
        <v>127679</v>
      </c>
      <c r="AX14" s="58">
        <v>121672</v>
      </c>
      <c r="AY14" s="58">
        <v>120023</v>
      </c>
      <c r="AZ14" s="58">
        <v>104830</v>
      </c>
      <c r="BA14" s="58">
        <v>91879</v>
      </c>
      <c r="BB14" s="58">
        <v>75086</v>
      </c>
      <c r="BC14" s="58">
        <v>57677</v>
      </c>
      <c r="BD14" s="58">
        <v>44288</v>
      </c>
      <c r="BE14" s="58">
        <v>31361</v>
      </c>
      <c r="BF14" s="58">
        <v>21621</v>
      </c>
      <c r="BG14" s="58">
        <v>19703</v>
      </c>
      <c r="BH14" s="18">
        <v>1333864</v>
      </c>
    </row>
    <row r="15" spans="1:60" x14ac:dyDescent="0.2">
      <c r="A15" s="18">
        <v>11</v>
      </c>
      <c r="B15" s="18" t="s">
        <v>10</v>
      </c>
      <c r="C15" s="58">
        <v>4583718</v>
      </c>
      <c r="D15" s="58">
        <v>2388510</v>
      </c>
      <c r="E15" s="58">
        <v>2195208</v>
      </c>
      <c r="F15" s="18">
        <v>2894257</v>
      </c>
      <c r="G15" s="18">
        <v>1689461</v>
      </c>
      <c r="H15" s="18">
        <v>503297</v>
      </c>
      <c r="I15" s="18">
        <v>1186164</v>
      </c>
      <c r="J15" s="58">
        <v>33315</v>
      </c>
      <c r="K15" s="58">
        <v>49564</v>
      </c>
      <c r="L15" s="58">
        <v>291442</v>
      </c>
      <c r="M15" s="58">
        <v>294668</v>
      </c>
      <c r="N15" s="58">
        <v>266081</v>
      </c>
      <c r="O15" s="58">
        <v>246392</v>
      </c>
      <c r="P15" s="58">
        <v>229573</v>
      </c>
      <c r="Q15" s="58">
        <v>218283</v>
      </c>
      <c r="R15" s="58">
        <v>184744</v>
      </c>
      <c r="S15" s="58">
        <v>158151</v>
      </c>
      <c r="T15" s="58">
        <v>127800</v>
      </c>
      <c r="U15" s="58">
        <v>97898</v>
      </c>
      <c r="V15" s="58">
        <v>71475</v>
      </c>
      <c r="W15" s="58">
        <v>50798</v>
      </c>
      <c r="X15" s="58">
        <v>33940</v>
      </c>
      <c r="Y15" s="58">
        <v>34386</v>
      </c>
      <c r="Z15" s="58">
        <v>2388510</v>
      </c>
      <c r="AA15" s="58">
        <v>32385</v>
      </c>
      <c r="AB15" s="58">
        <v>48463</v>
      </c>
      <c r="AC15" s="58">
        <v>286989</v>
      </c>
      <c r="AD15" s="58">
        <v>291663</v>
      </c>
      <c r="AE15" s="58">
        <v>250611</v>
      </c>
      <c r="AF15" s="58">
        <v>226202</v>
      </c>
      <c r="AG15" s="58">
        <v>208834</v>
      </c>
      <c r="AH15" s="58">
        <v>196662</v>
      </c>
      <c r="AI15" s="58">
        <v>163391</v>
      </c>
      <c r="AJ15" s="58">
        <v>136282</v>
      </c>
      <c r="AK15" s="58">
        <v>110855</v>
      </c>
      <c r="AL15" s="58">
        <v>85991</v>
      </c>
      <c r="AM15" s="58">
        <v>62378</v>
      </c>
      <c r="AN15" s="58">
        <v>42727</v>
      </c>
      <c r="AO15" s="58">
        <v>27013</v>
      </c>
      <c r="AP15" s="58">
        <v>24762</v>
      </c>
      <c r="AQ15" s="58">
        <v>2195208</v>
      </c>
      <c r="AR15" s="58">
        <v>65700</v>
      </c>
      <c r="AS15" s="58">
        <v>98027</v>
      </c>
      <c r="AT15" s="58">
        <v>578431</v>
      </c>
      <c r="AU15" s="58">
        <v>586331</v>
      </c>
      <c r="AV15" s="58">
        <v>516692</v>
      </c>
      <c r="AW15" s="58">
        <v>472594</v>
      </c>
      <c r="AX15" s="58">
        <v>438407</v>
      </c>
      <c r="AY15" s="58">
        <v>414945</v>
      </c>
      <c r="AZ15" s="58">
        <v>348135</v>
      </c>
      <c r="BA15" s="58">
        <v>294433</v>
      </c>
      <c r="BB15" s="58">
        <v>238655</v>
      </c>
      <c r="BC15" s="58">
        <v>183889</v>
      </c>
      <c r="BD15" s="58">
        <v>133853</v>
      </c>
      <c r="BE15" s="58">
        <v>93525</v>
      </c>
      <c r="BF15" s="58">
        <v>60953</v>
      </c>
      <c r="BG15" s="58">
        <v>59148</v>
      </c>
      <c r="BH15" s="18">
        <v>4583718</v>
      </c>
    </row>
    <row r="16" spans="1:60" x14ac:dyDescent="0.2">
      <c r="A16" s="18">
        <v>12</v>
      </c>
      <c r="B16" s="18" t="s">
        <v>11</v>
      </c>
      <c r="C16" s="58">
        <v>2563061</v>
      </c>
      <c r="D16" s="58">
        <v>1346546</v>
      </c>
      <c r="E16" s="58">
        <v>1216515</v>
      </c>
      <c r="F16" s="18">
        <v>1292618</v>
      </c>
      <c r="G16" s="18">
        <v>1270443</v>
      </c>
      <c r="H16" s="18">
        <v>348023</v>
      </c>
      <c r="I16" s="18">
        <v>922420</v>
      </c>
      <c r="J16" s="58">
        <v>19297</v>
      </c>
      <c r="K16" s="58">
        <v>27855</v>
      </c>
      <c r="L16" s="58">
        <v>169897</v>
      </c>
      <c r="M16" s="58">
        <v>171427</v>
      </c>
      <c r="N16" s="58">
        <v>146761</v>
      </c>
      <c r="O16" s="58">
        <v>130975</v>
      </c>
      <c r="P16" s="58">
        <v>119578</v>
      </c>
      <c r="Q16" s="58">
        <v>113285</v>
      </c>
      <c r="R16" s="58">
        <v>97584</v>
      </c>
      <c r="S16" s="58">
        <v>87937</v>
      </c>
      <c r="T16" s="58">
        <v>72651</v>
      </c>
      <c r="U16" s="58">
        <v>57519</v>
      </c>
      <c r="V16" s="58">
        <v>44401</v>
      </c>
      <c r="W16" s="58">
        <v>33474</v>
      </c>
      <c r="X16" s="58">
        <v>26107</v>
      </c>
      <c r="Y16" s="58">
        <v>27798</v>
      </c>
      <c r="Z16" s="58">
        <v>1346546</v>
      </c>
      <c r="AA16" s="58">
        <v>17754</v>
      </c>
      <c r="AB16" s="58">
        <v>25727</v>
      </c>
      <c r="AC16" s="58">
        <v>160803</v>
      </c>
      <c r="AD16" s="58">
        <v>163648</v>
      </c>
      <c r="AE16" s="58">
        <v>133964</v>
      </c>
      <c r="AF16" s="58">
        <v>119798</v>
      </c>
      <c r="AG16" s="58">
        <v>108679</v>
      </c>
      <c r="AH16" s="58">
        <v>102117</v>
      </c>
      <c r="AI16" s="58">
        <v>86003</v>
      </c>
      <c r="AJ16" s="58">
        <v>75350</v>
      </c>
      <c r="AK16" s="58">
        <v>63439</v>
      </c>
      <c r="AL16" s="58">
        <v>50834</v>
      </c>
      <c r="AM16" s="58">
        <v>38460</v>
      </c>
      <c r="AN16" s="58">
        <v>28529</v>
      </c>
      <c r="AO16" s="58">
        <v>20783</v>
      </c>
      <c r="AP16" s="58">
        <v>20627</v>
      </c>
      <c r="AQ16" s="58">
        <v>1216515</v>
      </c>
      <c r="AR16" s="58">
        <v>37051</v>
      </c>
      <c r="AS16" s="58">
        <v>53582</v>
      </c>
      <c r="AT16" s="58">
        <v>330700</v>
      </c>
      <c r="AU16" s="58">
        <v>335075</v>
      </c>
      <c r="AV16" s="58">
        <v>280725</v>
      </c>
      <c r="AW16" s="58">
        <v>250773</v>
      </c>
      <c r="AX16" s="58">
        <v>228257</v>
      </c>
      <c r="AY16" s="58">
        <v>215402</v>
      </c>
      <c r="AZ16" s="58">
        <v>183587</v>
      </c>
      <c r="BA16" s="58">
        <v>163287</v>
      </c>
      <c r="BB16" s="58">
        <v>136090</v>
      </c>
      <c r="BC16" s="58">
        <v>108353</v>
      </c>
      <c r="BD16" s="58">
        <v>82861</v>
      </c>
      <c r="BE16" s="58">
        <v>62003</v>
      </c>
      <c r="BF16" s="58">
        <v>46890</v>
      </c>
      <c r="BG16" s="58">
        <v>48425</v>
      </c>
      <c r="BH16" s="18">
        <v>2563061</v>
      </c>
    </row>
    <row r="17" spans="1:60" x14ac:dyDescent="0.2">
      <c r="A17" s="18">
        <v>13</v>
      </c>
      <c r="B17" s="18" t="s">
        <v>12</v>
      </c>
      <c r="C17" s="58">
        <v>2240326</v>
      </c>
      <c r="D17" s="58">
        <v>1181843</v>
      </c>
      <c r="E17" s="58">
        <v>1058483</v>
      </c>
      <c r="F17" s="18">
        <v>824672</v>
      </c>
      <c r="G17" s="18">
        <v>1415654</v>
      </c>
      <c r="H17" s="18">
        <v>546901</v>
      </c>
      <c r="I17" s="18">
        <v>868753</v>
      </c>
      <c r="J17" s="58">
        <v>15283</v>
      </c>
      <c r="K17" s="58">
        <v>22766</v>
      </c>
      <c r="L17" s="58">
        <v>131032</v>
      </c>
      <c r="M17" s="58">
        <v>138070</v>
      </c>
      <c r="N17" s="58">
        <v>128585</v>
      </c>
      <c r="O17" s="58">
        <v>123514</v>
      </c>
      <c r="P17" s="58">
        <v>117665</v>
      </c>
      <c r="Q17" s="58">
        <v>111138</v>
      </c>
      <c r="R17" s="58">
        <v>94759</v>
      </c>
      <c r="S17" s="58">
        <v>80489</v>
      </c>
      <c r="T17" s="58">
        <v>65653</v>
      </c>
      <c r="U17" s="58">
        <v>50974</v>
      </c>
      <c r="V17" s="58">
        <v>37368</v>
      </c>
      <c r="W17" s="58">
        <v>26918</v>
      </c>
      <c r="X17" s="58">
        <v>18751</v>
      </c>
      <c r="Y17" s="58">
        <v>18878</v>
      </c>
      <c r="Z17" s="58">
        <v>1181843</v>
      </c>
      <c r="AA17" s="58">
        <v>15199</v>
      </c>
      <c r="AB17" s="58">
        <v>22494</v>
      </c>
      <c r="AC17" s="58">
        <v>128799</v>
      </c>
      <c r="AD17" s="58">
        <v>132869</v>
      </c>
      <c r="AE17" s="58">
        <v>114460</v>
      </c>
      <c r="AF17" s="58">
        <v>107523</v>
      </c>
      <c r="AG17" s="58">
        <v>102255</v>
      </c>
      <c r="AH17" s="58">
        <v>97317</v>
      </c>
      <c r="AI17" s="58">
        <v>82042</v>
      </c>
      <c r="AJ17" s="58">
        <v>68892</v>
      </c>
      <c r="AK17" s="58">
        <v>57089</v>
      </c>
      <c r="AL17" s="58">
        <v>45426</v>
      </c>
      <c r="AM17" s="58">
        <v>33117</v>
      </c>
      <c r="AN17" s="58">
        <v>23209</v>
      </c>
      <c r="AO17" s="58">
        <v>14912</v>
      </c>
      <c r="AP17" s="58">
        <v>12880</v>
      </c>
      <c r="AQ17" s="58">
        <v>1058483</v>
      </c>
      <c r="AR17" s="58">
        <v>30482</v>
      </c>
      <c r="AS17" s="58">
        <v>45260</v>
      </c>
      <c r="AT17" s="58">
        <v>259831</v>
      </c>
      <c r="AU17" s="58">
        <v>270939</v>
      </c>
      <c r="AV17" s="58">
        <v>243045</v>
      </c>
      <c r="AW17" s="58">
        <v>231037</v>
      </c>
      <c r="AX17" s="58">
        <v>219920</v>
      </c>
      <c r="AY17" s="58">
        <v>208455</v>
      </c>
      <c r="AZ17" s="58">
        <v>176801</v>
      </c>
      <c r="BA17" s="58">
        <v>149381</v>
      </c>
      <c r="BB17" s="58">
        <v>122742</v>
      </c>
      <c r="BC17" s="58">
        <v>96400</v>
      </c>
      <c r="BD17" s="58">
        <v>70485</v>
      </c>
      <c r="BE17" s="58">
        <v>50127</v>
      </c>
      <c r="BF17" s="58">
        <v>33663</v>
      </c>
      <c r="BG17" s="58">
        <v>31758</v>
      </c>
      <c r="BH17" s="18">
        <v>2240326</v>
      </c>
    </row>
    <row r="18" spans="1:60" x14ac:dyDescent="0.2">
      <c r="A18" s="18">
        <v>14</v>
      </c>
      <c r="B18" s="18" t="s">
        <v>13</v>
      </c>
      <c r="C18" s="58">
        <v>6214764</v>
      </c>
      <c r="D18" s="58">
        <v>3191525</v>
      </c>
      <c r="E18" s="58">
        <v>3023239</v>
      </c>
      <c r="F18" s="18">
        <v>4440897</v>
      </c>
      <c r="G18" s="18">
        <v>1773867</v>
      </c>
      <c r="H18" s="18">
        <v>1173805</v>
      </c>
      <c r="I18" s="18">
        <v>600062</v>
      </c>
      <c r="J18" s="58">
        <v>41736</v>
      </c>
      <c r="K18" s="58">
        <v>62833</v>
      </c>
      <c r="L18" s="58">
        <v>368824</v>
      </c>
      <c r="M18" s="58">
        <v>370658</v>
      </c>
      <c r="N18" s="58">
        <v>344945</v>
      </c>
      <c r="O18" s="58">
        <v>324912</v>
      </c>
      <c r="P18" s="58">
        <v>300602</v>
      </c>
      <c r="Q18" s="58">
        <v>291180</v>
      </c>
      <c r="R18" s="58">
        <v>254617</v>
      </c>
      <c r="S18" s="58">
        <v>218329</v>
      </c>
      <c r="T18" s="58">
        <v>182568</v>
      </c>
      <c r="U18" s="58">
        <v>145908</v>
      </c>
      <c r="V18" s="58">
        <v>111027</v>
      </c>
      <c r="W18" s="58">
        <v>77660</v>
      </c>
      <c r="X18" s="58">
        <v>48900</v>
      </c>
      <c r="Y18" s="58">
        <v>46826</v>
      </c>
      <c r="Z18" s="58">
        <v>3191525</v>
      </c>
      <c r="AA18" s="58">
        <v>40461</v>
      </c>
      <c r="AB18" s="58">
        <v>61575</v>
      </c>
      <c r="AC18" s="58">
        <v>370112</v>
      </c>
      <c r="AD18" s="58">
        <v>377692</v>
      </c>
      <c r="AE18" s="58">
        <v>344288</v>
      </c>
      <c r="AF18" s="58">
        <v>318029</v>
      </c>
      <c r="AG18" s="58">
        <v>287523</v>
      </c>
      <c r="AH18" s="58">
        <v>276733</v>
      </c>
      <c r="AI18" s="58">
        <v>233447</v>
      </c>
      <c r="AJ18" s="58">
        <v>193533</v>
      </c>
      <c r="AK18" s="58">
        <v>159026</v>
      </c>
      <c r="AL18" s="58">
        <v>126532</v>
      </c>
      <c r="AM18" s="58">
        <v>96420</v>
      </c>
      <c r="AN18" s="58">
        <v>65574</v>
      </c>
      <c r="AO18" s="58">
        <v>39409</v>
      </c>
      <c r="AP18" s="58">
        <v>32885</v>
      </c>
      <c r="AQ18" s="58">
        <v>3023239</v>
      </c>
      <c r="AR18" s="58">
        <v>82197</v>
      </c>
      <c r="AS18" s="58">
        <v>124408</v>
      </c>
      <c r="AT18" s="58">
        <v>738936</v>
      </c>
      <c r="AU18" s="58">
        <v>748350</v>
      </c>
      <c r="AV18" s="58">
        <v>689233</v>
      </c>
      <c r="AW18" s="58">
        <v>642941</v>
      </c>
      <c r="AX18" s="58">
        <v>588125</v>
      </c>
      <c r="AY18" s="58">
        <v>567913</v>
      </c>
      <c r="AZ18" s="58">
        <v>488064</v>
      </c>
      <c r="BA18" s="58">
        <v>411862</v>
      </c>
      <c r="BB18" s="58">
        <v>341594</v>
      </c>
      <c r="BC18" s="58">
        <v>272440</v>
      </c>
      <c r="BD18" s="58">
        <v>207447</v>
      </c>
      <c r="BE18" s="58">
        <v>143234</v>
      </c>
      <c r="BF18" s="58">
        <v>88309</v>
      </c>
      <c r="BG18" s="58">
        <v>79711</v>
      </c>
      <c r="BH18" s="18">
        <v>6214764</v>
      </c>
    </row>
    <row r="19" spans="1:60" x14ac:dyDescent="0.2">
      <c r="A19" s="18">
        <v>15</v>
      </c>
      <c r="B19" s="18" t="s">
        <v>14</v>
      </c>
      <c r="C19" s="58">
        <v>12376600</v>
      </c>
      <c r="D19" s="58">
        <v>6468981</v>
      </c>
      <c r="E19" s="58">
        <v>5907619</v>
      </c>
      <c r="F19" s="18">
        <v>9749233</v>
      </c>
      <c r="G19" s="18">
        <v>2627367</v>
      </c>
      <c r="H19" s="18">
        <v>1060361</v>
      </c>
      <c r="I19" s="18">
        <v>1567006</v>
      </c>
      <c r="J19" s="58">
        <v>83917</v>
      </c>
      <c r="K19" s="58">
        <v>129345</v>
      </c>
      <c r="L19" s="58">
        <v>743354</v>
      </c>
      <c r="M19" s="58">
        <v>763919</v>
      </c>
      <c r="N19" s="58">
        <v>711596</v>
      </c>
      <c r="O19" s="58">
        <v>673676</v>
      </c>
      <c r="P19" s="58">
        <v>644751</v>
      </c>
      <c r="Q19" s="58">
        <v>638258</v>
      </c>
      <c r="R19" s="58">
        <v>540763</v>
      </c>
      <c r="S19" s="58">
        <v>452222</v>
      </c>
      <c r="T19" s="58">
        <v>359249</v>
      </c>
      <c r="U19" s="58">
        <v>264458</v>
      </c>
      <c r="V19" s="58">
        <v>187086</v>
      </c>
      <c r="W19" s="58">
        <v>125158</v>
      </c>
      <c r="X19" s="58">
        <v>79351</v>
      </c>
      <c r="Y19" s="58">
        <v>71878</v>
      </c>
      <c r="Z19" s="58">
        <v>6468981</v>
      </c>
      <c r="AA19" s="58">
        <v>88412</v>
      </c>
      <c r="AB19" s="58">
        <v>132608</v>
      </c>
      <c r="AC19" s="58">
        <v>750258</v>
      </c>
      <c r="AD19" s="58">
        <v>762209</v>
      </c>
      <c r="AE19" s="58">
        <v>681539</v>
      </c>
      <c r="AF19" s="58">
        <v>618403</v>
      </c>
      <c r="AG19" s="58">
        <v>575984</v>
      </c>
      <c r="AH19" s="58">
        <v>563034</v>
      </c>
      <c r="AI19" s="58">
        <v>471905</v>
      </c>
      <c r="AJ19" s="58">
        <v>387360</v>
      </c>
      <c r="AK19" s="58">
        <v>304004</v>
      </c>
      <c r="AL19" s="58">
        <v>221569</v>
      </c>
      <c r="AM19" s="58">
        <v>153485</v>
      </c>
      <c r="AN19" s="58">
        <v>97658</v>
      </c>
      <c r="AO19" s="58">
        <v>56750</v>
      </c>
      <c r="AP19" s="58">
        <v>42441</v>
      </c>
      <c r="AQ19" s="58">
        <v>5907619</v>
      </c>
      <c r="AR19" s="58">
        <v>172329</v>
      </c>
      <c r="AS19" s="58">
        <v>261953</v>
      </c>
      <c r="AT19" s="58">
        <v>1493612</v>
      </c>
      <c r="AU19" s="58">
        <v>1526128</v>
      </c>
      <c r="AV19" s="58">
        <v>1393135</v>
      </c>
      <c r="AW19" s="58">
        <v>1292079</v>
      </c>
      <c r="AX19" s="58">
        <v>1220735</v>
      </c>
      <c r="AY19" s="58">
        <v>1201292</v>
      </c>
      <c r="AZ19" s="58">
        <v>1012668</v>
      </c>
      <c r="BA19" s="58">
        <v>839582</v>
      </c>
      <c r="BB19" s="58">
        <v>663253</v>
      </c>
      <c r="BC19" s="58">
        <v>486027</v>
      </c>
      <c r="BD19" s="58">
        <v>340571</v>
      </c>
      <c r="BE19" s="58">
        <v>222816</v>
      </c>
      <c r="BF19" s="58">
        <v>136101</v>
      </c>
      <c r="BG19" s="58">
        <v>114319</v>
      </c>
      <c r="BH19" s="18">
        <v>12376600</v>
      </c>
    </row>
    <row r="20" spans="1:60" x14ac:dyDescent="0.2">
      <c r="A20" s="18">
        <v>16</v>
      </c>
      <c r="B20" s="18" t="s">
        <v>15</v>
      </c>
      <c r="C20" s="58">
        <v>3574824</v>
      </c>
      <c r="D20" s="58">
        <v>1857783</v>
      </c>
      <c r="E20" s="58">
        <v>1717041</v>
      </c>
      <c r="F20" s="18">
        <v>1955840</v>
      </c>
      <c r="G20" s="18">
        <v>1618984</v>
      </c>
      <c r="H20" s="18">
        <v>669713</v>
      </c>
      <c r="I20" s="18">
        <v>949271</v>
      </c>
      <c r="J20" s="58">
        <v>21470</v>
      </c>
      <c r="K20" s="58">
        <v>33251</v>
      </c>
      <c r="L20" s="58">
        <v>209672</v>
      </c>
      <c r="M20" s="58">
        <v>224062</v>
      </c>
      <c r="N20" s="58">
        <v>204503</v>
      </c>
      <c r="O20" s="58">
        <v>182691</v>
      </c>
      <c r="P20" s="58">
        <v>169805</v>
      </c>
      <c r="Q20" s="58">
        <v>162731</v>
      </c>
      <c r="R20" s="58">
        <v>142691</v>
      </c>
      <c r="S20" s="58">
        <v>127793</v>
      </c>
      <c r="T20" s="58">
        <v>108715</v>
      </c>
      <c r="U20" s="58">
        <v>86060</v>
      </c>
      <c r="V20" s="58">
        <v>66931</v>
      </c>
      <c r="W20" s="58">
        <v>48094</v>
      </c>
      <c r="X20" s="58">
        <v>33654</v>
      </c>
      <c r="Y20" s="58">
        <v>35660</v>
      </c>
      <c r="Z20" s="58">
        <v>1857783</v>
      </c>
      <c r="AA20" s="58">
        <v>21291</v>
      </c>
      <c r="AB20" s="58">
        <v>32126</v>
      </c>
      <c r="AC20" s="58">
        <v>204266</v>
      </c>
      <c r="AD20" s="58">
        <v>220380</v>
      </c>
      <c r="AE20" s="58">
        <v>192692</v>
      </c>
      <c r="AF20" s="58">
        <v>169938</v>
      </c>
      <c r="AG20" s="58">
        <v>157644</v>
      </c>
      <c r="AH20" s="58">
        <v>149881</v>
      </c>
      <c r="AI20" s="58">
        <v>126341</v>
      </c>
      <c r="AJ20" s="58">
        <v>111415</v>
      </c>
      <c r="AK20" s="58">
        <v>94854</v>
      </c>
      <c r="AL20" s="58">
        <v>77899</v>
      </c>
      <c r="AM20" s="58">
        <v>60125</v>
      </c>
      <c r="AN20" s="58">
        <v>42293</v>
      </c>
      <c r="AO20" s="58">
        <v>28035</v>
      </c>
      <c r="AP20" s="58">
        <v>27861</v>
      </c>
      <c r="AQ20" s="58">
        <v>1717041</v>
      </c>
      <c r="AR20" s="58">
        <v>42761</v>
      </c>
      <c r="AS20" s="58">
        <v>65377</v>
      </c>
      <c r="AT20" s="58">
        <v>413938</v>
      </c>
      <c r="AU20" s="58">
        <v>444442</v>
      </c>
      <c r="AV20" s="58">
        <v>397195</v>
      </c>
      <c r="AW20" s="58">
        <v>352629</v>
      </c>
      <c r="AX20" s="58">
        <v>327449</v>
      </c>
      <c r="AY20" s="58">
        <v>312612</v>
      </c>
      <c r="AZ20" s="58">
        <v>269032</v>
      </c>
      <c r="BA20" s="58">
        <v>239208</v>
      </c>
      <c r="BB20" s="58">
        <v>203569</v>
      </c>
      <c r="BC20" s="58">
        <v>163959</v>
      </c>
      <c r="BD20" s="58">
        <v>127056</v>
      </c>
      <c r="BE20" s="58">
        <v>90387</v>
      </c>
      <c r="BF20" s="58">
        <v>61689</v>
      </c>
      <c r="BG20" s="58">
        <v>63521</v>
      </c>
      <c r="BH20" s="18">
        <v>3574824</v>
      </c>
    </row>
    <row r="21" spans="1:60" x14ac:dyDescent="0.2">
      <c r="A21" s="18">
        <v>17</v>
      </c>
      <c r="B21" s="18" t="s">
        <v>16</v>
      </c>
      <c r="C21" s="58">
        <v>1496082</v>
      </c>
      <c r="D21" s="58">
        <v>786121</v>
      </c>
      <c r="E21" s="58">
        <v>709961</v>
      </c>
      <c r="F21" s="18">
        <v>1126705</v>
      </c>
      <c r="G21" s="18">
        <v>369377</v>
      </c>
      <c r="H21" s="18">
        <v>277381</v>
      </c>
      <c r="I21" s="18">
        <v>91996</v>
      </c>
      <c r="J21" s="58">
        <v>9887</v>
      </c>
      <c r="K21" s="58">
        <v>14876</v>
      </c>
      <c r="L21" s="58">
        <v>87182</v>
      </c>
      <c r="M21" s="58">
        <v>91507</v>
      </c>
      <c r="N21" s="58">
        <v>82708</v>
      </c>
      <c r="O21" s="58">
        <v>77143</v>
      </c>
      <c r="P21" s="58">
        <v>73317</v>
      </c>
      <c r="Q21" s="58">
        <v>72977</v>
      </c>
      <c r="R21" s="58">
        <v>64479</v>
      </c>
      <c r="S21" s="58">
        <v>56218</v>
      </c>
      <c r="T21" s="58">
        <v>47798</v>
      </c>
      <c r="U21" s="58">
        <v>36984</v>
      </c>
      <c r="V21" s="58">
        <v>27071</v>
      </c>
      <c r="W21" s="58">
        <v>18682</v>
      </c>
      <c r="X21" s="58">
        <v>12907</v>
      </c>
      <c r="Y21" s="58">
        <v>12385</v>
      </c>
      <c r="Z21" s="58">
        <v>786121</v>
      </c>
      <c r="AA21" s="58">
        <v>10194</v>
      </c>
      <c r="AB21" s="58">
        <v>14375</v>
      </c>
      <c r="AC21" s="58">
        <v>85293</v>
      </c>
      <c r="AD21" s="58">
        <v>90229</v>
      </c>
      <c r="AE21" s="58">
        <v>78595</v>
      </c>
      <c r="AF21" s="58">
        <v>70311</v>
      </c>
      <c r="AG21" s="58">
        <v>65008</v>
      </c>
      <c r="AH21" s="58">
        <v>64151</v>
      </c>
      <c r="AI21" s="58">
        <v>54686</v>
      </c>
      <c r="AJ21" s="58">
        <v>47947</v>
      </c>
      <c r="AK21" s="58">
        <v>40270</v>
      </c>
      <c r="AL21" s="58">
        <v>31795</v>
      </c>
      <c r="AM21" s="58">
        <v>23147</v>
      </c>
      <c r="AN21" s="58">
        <v>15667</v>
      </c>
      <c r="AO21" s="58">
        <v>9855</v>
      </c>
      <c r="AP21" s="58">
        <v>8438</v>
      </c>
      <c r="AQ21" s="58">
        <v>709961</v>
      </c>
      <c r="AR21" s="58">
        <v>20081</v>
      </c>
      <c r="AS21" s="58">
        <v>29251</v>
      </c>
      <c r="AT21" s="58">
        <v>172475</v>
      </c>
      <c r="AU21" s="58">
        <v>181736</v>
      </c>
      <c r="AV21" s="58">
        <v>161303</v>
      </c>
      <c r="AW21" s="58">
        <v>147454</v>
      </c>
      <c r="AX21" s="58">
        <v>138325</v>
      </c>
      <c r="AY21" s="58">
        <v>137128</v>
      </c>
      <c r="AZ21" s="58">
        <v>119165</v>
      </c>
      <c r="BA21" s="58">
        <v>104165</v>
      </c>
      <c r="BB21" s="58">
        <v>88068</v>
      </c>
      <c r="BC21" s="58">
        <v>68779</v>
      </c>
      <c r="BD21" s="58">
        <v>50218</v>
      </c>
      <c r="BE21" s="58">
        <v>34349</v>
      </c>
      <c r="BF21" s="58">
        <v>22762</v>
      </c>
      <c r="BG21" s="58">
        <v>20823</v>
      </c>
      <c r="BH21" s="18">
        <v>1496082</v>
      </c>
    </row>
    <row r="22" spans="1:60" x14ac:dyDescent="0.2">
      <c r="A22" s="18">
        <v>18</v>
      </c>
      <c r="B22" s="18" t="s">
        <v>17</v>
      </c>
      <c r="C22" s="58">
        <v>891505</v>
      </c>
      <c r="D22" s="58">
        <v>451667</v>
      </c>
      <c r="E22" s="58">
        <v>439838</v>
      </c>
      <c r="F22" s="18">
        <v>559141</v>
      </c>
      <c r="G22" s="18">
        <v>332364</v>
      </c>
      <c r="H22" s="18">
        <v>138233</v>
      </c>
      <c r="I22" s="18">
        <v>194131</v>
      </c>
      <c r="J22" s="58">
        <v>5921</v>
      </c>
      <c r="K22" s="58">
        <v>8522</v>
      </c>
      <c r="L22" s="58">
        <v>50075</v>
      </c>
      <c r="M22" s="58">
        <v>51604</v>
      </c>
      <c r="N22" s="58">
        <v>48390</v>
      </c>
      <c r="O22" s="58">
        <v>44724</v>
      </c>
      <c r="P22" s="58">
        <v>42078</v>
      </c>
      <c r="Q22" s="58">
        <v>41385</v>
      </c>
      <c r="R22" s="58">
        <v>35546</v>
      </c>
      <c r="S22" s="58">
        <v>31256</v>
      </c>
      <c r="T22" s="58">
        <v>26966</v>
      </c>
      <c r="U22" s="58">
        <v>21635</v>
      </c>
      <c r="V22" s="58">
        <v>16252</v>
      </c>
      <c r="W22" s="58">
        <v>11758</v>
      </c>
      <c r="X22" s="58">
        <v>8025</v>
      </c>
      <c r="Y22" s="58">
        <v>7530</v>
      </c>
      <c r="Z22" s="58">
        <v>451667</v>
      </c>
      <c r="AA22" s="58">
        <v>5880</v>
      </c>
      <c r="AB22" s="58">
        <v>8357</v>
      </c>
      <c r="AC22" s="58">
        <v>50413</v>
      </c>
      <c r="AD22" s="58">
        <v>52168</v>
      </c>
      <c r="AE22" s="58">
        <v>47660</v>
      </c>
      <c r="AF22" s="58">
        <v>43573</v>
      </c>
      <c r="AG22" s="58">
        <v>41432</v>
      </c>
      <c r="AH22" s="58">
        <v>40991</v>
      </c>
      <c r="AI22" s="58">
        <v>34864</v>
      </c>
      <c r="AJ22" s="58">
        <v>29609</v>
      </c>
      <c r="AK22" s="58">
        <v>24691</v>
      </c>
      <c r="AL22" s="58">
        <v>20410</v>
      </c>
      <c r="AM22" s="58">
        <v>15393</v>
      </c>
      <c r="AN22" s="58">
        <v>11037</v>
      </c>
      <c r="AO22" s="58">
        <v>7317</v>
      </c>
      <c r="AP22" s="58">
        <v>6043</v>
      </c>
      <c r="AQ22" s="58">
        <v>439838</v>
      </c>
      <c r="AR22" s="58">
        <v>11801</v>
      </c>
      <c r="AS22" s="58">
        <v>16879</v>
      </c>
      <c r="AT22" s="58">
        <v>100488</v>
      </c>
      <c r="AU22" s="58">
        <v>103772</v>
      </c>
      <c r="AV22" s="58">
        <v>96050</v>
      </c>
      <c r="AW22" s="58">
        <v>88297</v>
      </c>
      <c r="AX22" s="58">
        <v>83510</v>
      </c>
      <c r="AY22" s="58">
        <v>82376</v>
      </c>
      <c r="AZ22" s="58">
        <v>70410</v>
      </c>
      <c r="BA22" s="58">
        <v>60865</v>
      </c>
      <c r="BB22" s="58">
        <v>51657</v>
      </c>
      <c r="BC22" s="58">
        <v>42045</v>
      </c>
      <c r="BD22" s="58">
        <v>31645</v>
      </c>
      <c r="BE22" s="58">
        <v>22795</v>
      </c>
      <c r="BF22" s="58">
        <v>15342</v>
      </c>
      <c r="BG22" s="58">
        <v>13573</v>
      </c>
      <c r="BH22" s="18">
        <v>891505</v>
      </c>
    </row>
    <row r="23" spans="1:60" x14ac:dyDescent="0.2">
      <c r="A23" s="18">
        <v>19</v>
      </c>
      <c r="B23" s="18" t="s">
        <v>18</v>
      </c>
      <c r="C23" s="58">
        <v>4189722</v>
      </c>
      <c r="D23" s="58">
        <v>2094756</v>
      </c>
      <c r="E23" s="58">
        <v>2094966</v>
      </c>
      <c r="F23" s="18">
        <v>3608280</v>
      </c>
      <c r="G23" s="18">
        <v>581442</v>
      </c>
      <c r="H23" s="18">
        <v>396856</v>
      </c>
      <c r="I23" s="18">
        <v>184586</v>
      </c>
      <c r="J23" s="58">
        <v>30447</v>
      </c>
      <c r="K23" s="58">
        <v>42998</v>
      </c>
      <c r="L23" s="58">
        <v>241213</v>
      </c>
      <c r="M23" s="58">
        <v>240395</v>
      </c>
      <c r="N23" s="58">
        <v>221486</v>
      </c>
      <c r="O23" s="58">
        <v>209144</v>
      </c>
      <c r="P23" s="58">
        <v>203471</v>
      </c>
      <c r="Q23" s="58">
        <v>202546</v>
      </c>
      <c r="R23" s="58">
        <v>175940</v>
      </c>
      <c r="S23" s="58">
        <v>145072</v>
      </c>
      <c r="T23" s="58">
        <v>119696</v>
      </c>
      <c r="U23" s="58">
        <v>87824</v>
      </c>
      <c r="V23" s="58">
        <v>67320</v>
      </c>
      <c r="W23" s="58">
        <v>47302</v>
      </c>
      <c r="X23" s="58">
        <v>31501</v>
      </c>
      <c r="Y23" s="58">
        <v>28401</v>
      </c>
      <c r="Z23" s="58">
        <v>2094756</v>
      </c>
      <c r="AA23" s="58">
        <v>31327</v>
      </c>
      <c r="AB23" s="58">
        <v>43803</v>
      </c>
      <c r="AC23" s="58">
        <v>251885</v>
      </c>
      <c r="AD23" s="58">
        <v>255849</v>
      </c>
      <c r="AE23" s="58">
        <v>236380</v>
      </c>
      <c r="AF23" s="58">
        <v>220405</v>
      </c>
      <c r="AG23" s="58">
        <v>210120</v>
      </c>
      <c r="AH23" s="58">
        <v>204996</v>
      </c>
      <c r="AI23" s="58">
        <v>172466</v>
      </c>
      <c r="AJ23" s="58">
        <v>138387</v>
      </c>
      <c r="AK23" s="58">
        <v>110064</v>
      </c>
      <c r="AL23" s="58">
        <v>78787</v>
      </c>
      <c r="AM23" s="58">
        <v>58304</v>
      </c>
      <c r="AN23" s="58">
        <v>39008</v>
      </c>
      <c r="AO23" s="58">
        <v>24692</v>
      </c>
      <c r="AP23" s="58">
        <v>18493</v>
      </c>
      <c r="AQ23" s="58">
        <v>2094966</v>
      </c>
      <c r="AR23" s="58">
        <v>61774</v>
      </c>
      <c r="AS23" s="58">
        <v>86801</v>
      </c>
      <c r="AT23" s="58">
        <v>493098</v>
      </c>
      <c r="AU23" s="58">
        <v>496244</v>
      </c>
      <c r="AV23" s="58">
        <v>457866</v>
      </c>
      <c r="AW23" s="58">
        <v>429549</v>
      </c>
      <c r="AX23" s="58">
        <v>413591</v>
      </c>
      <c r="AY23" s="58">
        <v>407542</v>
      </c>
      <c r="AZ23" s="58">
        <v>348406</v>
      </c>
      <c r="BA23" s="58">
        <v>283459</v>
      </c>
      <c r="BB23" s="58">
        <v>229760</v>
      </c>
      <c r="BC23" s="58">
        <v>166611</v>
      </c>
      <c r="BD23" s="58">
        <v>125624</v>
      </c>
      <c r="BE23" s="58">
        <v>86310</v>
      </c>
      <c r="BF23" s="58">
        <v>56193</v>
      </c>
      <c r="BG23" s="58">
        <v>46894</v>
      </c>
      <c r="BH23" s="18">
        <v>4189722</v>
      </c>
    </row>
    <row r="24" spans="1:60" x14ac:dyDescent="0.2">
      <c r="A24" s="18">
        <v>20</v>
      </c>
      <c r="B24" s="18" t="s">
        <v>19</v>
      </c>
      <c r="C24" s="58">
        <v>3013303</v>
      </c>
      <c r="D24" s="58">
        <v>1601912</v>
      </c>
      <c r="E24" s="58">
        <v>1411391</v>
      </c>
      <c r="F24" s="18">
        <v>1215254</v>
      </c>
      <c r="G24" s="18">
        <v>1798049</v>
      </c>
      <c r="H24" s="18">
        <v>995151</v>
      </c>
      <c r="I24" s="18">
        <v>802898</v>
      </c>
      <c r="J24" s="58">
        <v>19267</v>
      </c>
      <c r="K24" s="58">
        <v>29344</v>
      </c>
      <c r="L24" s="58">
        <v>180504</v>
      </c>
      <c r="M24" s="58">
        <v>197169</v>
      </c>
      <c r="N24" s="58">
        <v>174717</v>
      </c>
      <c r="O24" s="58">
        <v>161500</v>
      </c>
      <c r="P24" s="58">
        <v>150927</v>
      </c>
      <c r="Q24" s="58">
        <v>137975</v>
      </c>
      <c r="R24" s="58">
        <v>119430</v>
      </c>
      <c r="S24" s="58">
        <v>105899</v>
      </c>
      <c r="T24" s="58">
        <v>89606</v>
      </c>
      <c r="U24" s="58">
        <v>72094</v>
      </c>
      <c r="V24" s="58">
        <v>55704</v>
      </c>
      <c r="W24" s="58">
        <v>42704</v>
      </c>
      <c r="X24" s="58">
        <v>31850</v>
      </c>
      <c r="Y24" s="58">
        <v>33222</v>
      </c>
      <c r="Z24" s="58">
        <v>1601912</v>
      </c>
      <c r="AA24" s="58">
        <v>18039</v>
      </c>
      <c r="AB24" s="58">
        <v>27822</v>
      </c>
      <c r="AC24" s="58">
        <v>171265</v>
      </c>
      <c r="AD24" s="58">
        <v>182843</v>
      </c>
      <c r="AE24" s="58">
        <v>155306</v>
      </c>
      <c r="AF24" s="58">
        <v>142262</v>
      </c>
      <c r="AG24" s="58">
        <v>131848</v>
      </c>
      <c r="AH24" s="58">
        <v>119221</v>
      </c>
      <c r="AI24" s="58">
        <v>101918</v>
      </c>
      <c r="AJ24" s="58">
        <v>89113</v>
      </c>
      <c r="AK24" s="58">
        <v>75645</v>
      </c>
      <c r="AL24" s="58">
        <v>61904</v>
      </c>
      <c r="AM24" s="58">
        <v>47780</v>
      </c>
      <c r="AN24" s="58">
        <v>35713</v>
      </c>
      <c r="AO24" s="58">
        <v>25714</v>
      </c>
      <c r="AP24" s="58">
        <v>24998</v>
      </c>
      <c r="AQ24" s="58">
        <v>1411391</v>
      </c>
      <c r="AR24" s="58">
        <v>37306</v>
      </c>
      <c r="AS24" s="58">
        <v>57166</v>
      </c>
      <c r="AT24" s="58">
        <v>351769</v>
      </c>
      <c r="AU24" s="58">
        <v>380012</v>
      </c>
      <c r="AV24" s="58">
        <v>330023</v>
      </c>
      <c r="AW24" s="58">
        <v>303762</v>
      </c>
      <c r="AX24" s="58">
        <v>282775</v>
      </c>
      <c r="AY24" s="58">
        <v>257196</v>
      </c>
      <c r="AZ24" s="58">
        <v>221348</v>
      </c>
      <c r="BA24" s="58">
        <v>195012</v>
      </c>
      <c r="BB24" s="58">
        <v>165251</v>
      </c>
      <c r="BC24" s="58">
        <v>133998</v>
      </c>
      <c r="BD24" s="58">
        <v>103484</v>
      </c>
      <c r="BE24" s="58">
        <v>78417</v>
      </c>
      <c r="BF24" s="58">
        <v>57564</v>
      </c>
      <c r="BG24" s="58">
        <v>58220</v>
      </c>
      <c r="BH24" s="18">
        <v>3013303</v>
      </c>
    </row>
    <row r="25" spans="1:60" x14ac:dyDescent="0.2">
      <c r="A25" s="18">
        <v>21</v>
      </c>
      <c r="B25" s="18" t="s">
        <v>20</v>
      </c>
      <c r="C25" s="58">
        <v>4739970</v>
      </c>
      <c r="D25" s="58">
        <v>2523535</v>
      </c>
      <c r="E25" s="58">
        <v>2216435</v>
      </c>
      <c r="F25" s="18">
        <v>2934827</v>
      </c>
      <c r="G25" s="18">
        <v>1805143</v>
      </c>
      <c r="H25" s="18">
        <v>831574</v>
      </c>
      <c r="I25" s="18">
        <v>973569</v>
      </c>
      <c r="J25" s="58">
        <v>31917</v>
      </c>
      <c r="K25" s="58">
        <v>50441</v>
      </c>
      <c r="L25" s="58">
        <v>306241</v>
      </c>
      <c r="M25" s="58">
        <v>319823</v>
      </c>
      <c r="N25" s="58">
        <v>281731</v>
      </c>
      <c r="O25" s="58">
        <v>260455</v>
      </c>
      <c r="P25" s="58">
        <v>243882</v>
      </c>
      <c r="Q25" s="58">
        <v>223687</v>
      </c>
      <c r="R25" s="58">
        <v>188635</v>
      </c>
      <c r="S25" s="58">
        <v>159061</v>
      </c>
      <c r="T25" s="58">
        <v>132024</v>
      </c>
      <c r="U25" s="58">
        <v>103071</v>
      </c>
      <c r="V25" s="58">
        <v>78445</v>
      </c>
      <c r="W25" s="58">
        <v>57172</v>
      </c>
      <c r="X25" s="58">
        <v>41354</v>
      </c>
      <c r="Y25" s="58">
        <v>45596</v>
      </c>
      <c r="Z25" s="58">
        <v>2523535</v>
      </c>
      <c r="AA25" s="58">
        <v>31767</v>
      </c>
      <c r="AB25" s="58">
        <v>48438</v>
      </c>
      <c r="AC25" s="58">
        <v>296358</v>
      </c>
      <c r="AD25" s="58">
        <v>305930</v>
      </c>
      <c r="AE25" s="58">
        <v>253226</v>
      </c>
      <c r="AF25" s="58">
        <v>226643</v>
      </c>
      <c r="AG25" s="58">
        <v>209307</v>
      </c>
      <c r="AH25" s="58">
        <v>191642</v>
      </c>
      <c r="AI25" s="58">
        <v>157483</v>
      </c>
      <c r="AJ25" s="58">
        <v>131076</v>
      </c>
      <c r="AK25" s="58">
        <v>108426</v>
      </c>
      <c r="AL25" s="58">
        <v>84730</v>
      </c>
      <c r="AM25" s="58">
        <v>63575</v>
      </c>
      <c r="AN25" s="58">
        <v>45785</v>
      </c>
      <c r="AO25" s="58">
        <v>31007</v>
      </c>
      <c r="AP25" s="58">
        <v>31042</v>
      </c>
      <c r="AQ25" s="58">
        <v>2216435</v>
      </c>
      <c r="AR25" s="58">
        <v>63684</v>
      </c>
      <c r="AS25" s="58">
        <v>98879</v>
      </c>
      <c r="AT25" s="58">
        <v>602599</v>
      </c>
      <c r="AU25" s="58">
        <v>625753</v>
      </c>
      <c r="AV25" s="58">
        <v>534957</v>
      </c>
      <c r="AW25" s="58">
        <v>487098</v>
      </c>
      <c r="AX25" s="58">
        <v>453189</v>
      </c>
      <c r="AY25" s="58">
        <v>415329</v>
      </c>
      <c r="AZ25" s="58">
        <v>346118</v>
      </c>
      <c r="BA25" s="58">
        <v>290137</v>
      </c>
      <c r="BB25" s="58">
        <v>240450</v>
      </c>
      <c r="BC25" s="58">
        <v>187801</v>
      </c>
      <c r="BD25" s="58">
        <v>142020</v>
      </c>
      <c r="BE25" s="58">
        <v>102957</v>
      </c>
      <c r="BF25" s="58">
        <v>72361</v>
      </c>
      <c r="BG25" s="58">
        <v>76638</v>
      </c>
      <c r="BH25" s="18">
        <v>4739970</v>
      </c>
    </row>
    <row r="26" spans="1:60" x14ac:dyDescent="0.2">
      <c r="A26" s="18">
        <v>22</v>
      </c>
      <c r="B26" s="18" t="s">
        <v>21</v>
      </c>
      <c r="C26" s="58">
        <v>1736388</v>
      </c>
      <c r="D26" s="58">
        <v>895406</v>
      </c>
      <c r="E26" s="58">
        <v>840982</v>
      </c>
      <c r="F26" s="18">
        <v>985018</v>
      </c>
      <c r="G26" s="18">
        <v>751370</v>
      </c>
      <c r="H26" s="18">
        <v>485174</v>
      </c>
      <c r="I26" s="18">
        <v>266196</v>
      </c>
      <c r="J26" s="58">
        <v>14046</v>
      </c>
      <c r="K26" s="58">
        <v>19231</v>
      </c>
      <c r="L26" s="58">
        <v>104345</v>
      </c>
      <c r="M26" s="58">
        <v>112199</v>
      </c>
      <c r="N26" s="58">
        <v>105708</v>
      </c>
      <c r="O26" s="58">
        <v>97899</v>
      </c>
      <c r="P26" s="58">
        <v>90636</v>
      </c>
      <c r="Q26" s="58">
        <v>84717</v>
      </c>
      <c r="R26" s="58">
        <v>69645</v>
      </c>
      <c r="S26" s="58">
        <v>57135</v>
      </c>
      <c r="T26" s="58">
        <v>45018</v>
      </c>
      <c r="U26" s="58">
        <v>33420</v>
      </c>
      <c r="V26" s="58">
        <v>23638</v>
      </c>
      <c r="W26" s="58">
        <v>16429</v>
      </c>
      <c r="X26" s="58">
        <v>10791</v>
      </c>
      <c r="Y26" s="58">
        <v>10549</v>
      </c>
      <c r="Z26" s="58">
        <v>895406</v>
      </c>
      <c r="AA26" s="58">
        <v>14148</v>
      </c>
      <c r="AB26" s="58">
        <v>18822</v>
      </c>
      <c r="AC26" s="58">
        <v>106104</v>
      </c>
      <c r="AD26" s="58">
        <v>114061</v>
      </c>
      <c r="AE26" s="58">
        <v>103773</v>
      </c>
      <c r="AF26" s="58">
        <v>93198</v>
      </c>
      <c r="AG26" s="58">
        <v>83833</v>
      </c>
      <c r="AH26" s="58">
        <v>78093</v>
      </c>
      <c r="AI26" s="58">
        <v>62561</v>
      </c>
      <c r="AJ26" s="58">
        <v>50448</v>
      </c>
      <c r="AK26" s="58">
        <v>39848</v>
      </c>
      <c r="AL26" s="58">
        <v>28569</v>
      </c>
      <c r="AM26" s="58">
        <v>19820</v>
      </c>
      <c r="AN26" s="58">
        <v>12890</v>
      </c>
      <c r="AO26" s="58">
        <v>8132</v>
      </c>
      <c r="AP26" s="58">
        <v>6682</v>
      </c>
      <c r="AQ26" s="58">
        <v>840982</v>
      </c>
      <c r="AR26" s="58">
        <v>28194</v>
      </c>
      <c r="AS26" s="58">
        <v>38053</v>
      </c>
      <c r="AT26" s="58">
        <v>210449</v>
      </c>
      <c r="AU26" s="58">
        <v>226260</v>
      </c>
      <c r="AV26" s="58">
        <v>209481</v>
      </c>
      <c r="AW26" s="58">
        <v>191097</v>
      </c>
      <c r="AX26" s="58">
        <v>174469</v>
      </c>
      <c r="AY26" s="58">
        <v>162810</v>
      </c>
      <c r="AZ26" s="58">
        <v>132206</v>
      </c>
      <c r="BA26" s="58">
        <v>107583</v>
      </c>
      <c r="BB26" s="58">
        <v>84866</v>
      </c>
      <c r="BC26" s="58">
        <v>61989</v>
      </c>
      <c r="BD26" s="58">
        <v>43458</v>
      </c>
      <c r="BE26" s="58">
        <v>29319</v>
      </c>
      <c r="BF26" s="58">
        <v>18923</v>
      </c>
      <c r="BG26" s="58">
        <v>17231</v>
      </c>
      <c r="BH26" s="18">
        <v>1736388</v>
      </c>
    </row>
    <row r="27" spans="1:60" x14ac:dyDescent="0.2">
      <c r="A27" s="18">
        <v>23</v>
      </c>
      <c r="B27" s="18" t="s">
        <v>22</v>
      </c>
      <c r="C27" s="58">
        <v>1322601</v>
      </c>
      <c r="D27" s="58">
        <v>648045</v>
      </c>
      <c r="E27" s="58">
        <v>674556</v>
      </c>
      <c r="F27" s="18">
        <v>1008631</v>
      </c>
      <c r="G27" s="18">
        <v>313970</v>
      </c>
      <c r="H27" s="18">
        <v>216488</v>
      </c>
      <c r="I27" s="18">
        <v>97482</v>
      </c>
      <c r="J27" s="58">
        <v>9481</v>
      </c>
      <c r="K27" s="58">
        <v>13536</v>
      </c>
      <c r="L27" s="58">
        <v>78276</v>
      </c>
      <c r="M27" s="58">
        <v>92366</v>
      </c>
      <c r="N27" s="58">
        <v>90141</v>
      </c>
      <c r="O27" s="58">
        <v>79617</v>
      </c>
      <c r="P27" s="58">
        <v>68807</v>
      </c>
      <c r="Q27" s="58">
        <v>60666</v>
      </c>
      <c r="R27" s="58">
        <v>47746</v>
      </c>
      <c r="S27" s="58">
        <v>36879</v>
      </c>
      <c r="T27" s="58">
        <v>26629</v>
      </c>
      <c r="U27" s="58">
        <v>18181</v>
      </c>
      <c r="V27" s="58">
        <v>11799</v>
      </c>
      <c r="W27" s="58">
        <v>6739</v>
      </c>
      <c r="X27" s="58">
        <v>4068</v>
      </c>
      <c r="Y27" s="58">
        <v>3114</v>
      </c>
      <c r="Z27" s="58">
        <v>648045</v>
      </c>
      <c r="AA27" s="58">
        <v>9507</v>
      </c>
      <c r="AB27" s="58">
        <v>13500</v>
      </c>
      <c r="AC27" s="58">
        <v>82766</v>
      </c>
      <c r="AD27" s="58">
        <v>98529</v>
      </c>
      <c r="AE27" s="58">
        <v>96806</v>
      </c>
      <c r="AF27" s="58">
        <v>84808</v>
      </c>
      <c r="AG27" s="58">
        <v>71907</v>
      </c>
      <c r="AH27" s="58">
        <v>62982</v>
      </c>
      <c r="AI27" s="58">
        <v>49319</v>
      </c>
      <c r="AJ27" s="58">
        <v>37070</v>
      </c>
      <c r="AK27" s="58">
        <v>25854</v>
      </c>
      <c r="AL27" s="58">
        <v>17503</v>
      </c>
      <c r="AM27" s="58">
        <v>11505</v>
      </c>
      <c r="AN27" s="58">
        <v>6238</v>
      </c>
      <c r="AO27" s="58">
        <v>3694</v>
      </c>
      <c r="AP27" s="58">
        <v>2568</v>
      </c>
      <c r="AQ27" s="58">
        <v>674556</v>
      </c>
      <c r="AR27" s="58">
        <v>18988</v>
      </c>
      <c r="AS27" s="58">
        <v>27036</v>
      </c>
      <c r="AT27" s="58">
        <v>161042</v>
      </c>
      <c r="AU27" s="58">
        <v>190895</v>
      </c>
      <c r="AV27" s="58">
        <v>186947</v>
      </c>
      <c r="AW27" s="58">
        <v>164425</v>
      </c>
      <c r="AX27" s="58">
        <v>140714</v>
      </c>
      <c r="AY27" s="58">
        <v>123648</v>
      </c>
      <c r="AZ27" s="58">
        <v>97065</v>
      </c>
      <c r="BA27" s="58">
        <v>73949</v>
      </c>
      <c r="BB27" s="58">
        <v>52483</v>
      </c>
      <c r="BC27" s="58">
        <v>35684</v>
      </c>
      <c r="BD27" s="58">
        <v>23304</v>
      </c>
      <c r="BE27" s="58">
        <v>12977</v>
      </c>
      <c r="BF27" s="58">
        <v>7762</v>
      </c>
      <c r="BG27" s="58">
        <v>5682</v>
      </c>
      <c r="BH27" s="18">
        <v>1322601</v>
      </c>
    </row>
    <row r="28" spans="1:60" x14ac:dyDescent="0.2">
      <c r="A28" s="18">
        <v>24</v>
      </c>
      <c r="B28" s="18" t="s">
        <v>23</v>
      </c>
      <c r="C28" s="58">
        <v>2068307</v>
      </c>
      <c r="D28" s="58">
        <v>1071176</v>
      </c>
      <c r="E28" s="58">
        <v>997131</v>
      </c>
      <c r="F28" s="18">
        <v>1163573</v>
      </c>
      <c r="G28" s="18">
        <v>904734</v>
      </c>
      <c r="H28" s="18">
        <v>241623</v>
      </c>
      <c r="I28" s="18">
        <v>663111</v>
      </c>
      <c r="J28" s="58">
        <v>14265</v>
      </c>
      <c r="K28" s="58">
        <v>21403</v>
      </c>
      <c r="L28" s="58">
        <v>126383</v>
      </c>
      <c r="M28" s="58">
        <v>129082</v>
      </c>
      <c r="N28" s="58">
        <v>114399</v>
      </c>
      <c r="O28" s="58">
        <v>106665</v>
      </c>
      <c r="P28" s="58">
        <v>97958</v>
      </c>
      <c r="Q28" s="58">
        <v>95277</v>
      </c>
      <c r="R28" s="58">
        <v>83598</v>
      </c>
      <c r="S28" s="58">
        <v>73081</v>
      </c>
      <c r="T28" s="58">
        <v>60663</v>
      </c>
      <c r="U28" s="58">
        <v>46544</v>
      </c>
      <c r="V28" s="58">
        <v>36125</v>
      </c>
      <c r="W28" s="58">
        <v>26424</v>
      </c>
      <c r="X28" s="58">
        <v>19312</v>
      </c>
      <c r="Y28" s="58">
        <v>19997</v>
      </c>
      <c r="Z28" s="58">
        <v>1071176</v>
      </c>
      <c r="AA28" s="58">
        <v>14612</v>
      </c>
      <c r="AB28" s="58">
        <v>21030</v>
      </c>
      <c r="AC28" s="58">
        <v>125354</v>
      </c>
      <c r="AD28" s="58">
        <v>125938</v>
      </c>
      <c r="AE28" s="58">
        <v>108458</v>
      </c>
      <c r="AF28" s="58">
        <v>97785</v>
      </c>
      <c r="AG28" s="58">
        <v>90324</v>
      </c>
      <c r="AH28" s="58">
        <v>87333</v>
      </c>
      <c r="AI28" s="58">
        <v>75030</v>
      </c>
      <c r="AJ28" s="58">
        <v>64930</v>
      </c>
      <c r="AK28" s="58">
        <v>54571</v>
      </c>
      <c r="AL28" s="58">
        <v>42293</v>
      </c>
      <c r="AM28" s="58">
        <v>32952</v>
      </c>
      <c r="AN28" s="58">
        <v>23776</v>
      </c>
      <c r="AO28" s="58">
        <v>16680</v>
      </c>
      <c r="AP28" s="58">
        <v>16065</v>
      </c>
      <c r="AQ28" s="58">
        <v>997131</v>
      </c>
      <c r="AR28" s="58">
        <v>28877</v>
      </c>
      <c r="AS28" s="58">
        <v>42433</v>
      </c>
      <c r="AT28" s="58">
        <v>251737</v>
      </c>
      <c r="AU28" s="58">
        <v>255020</v>
      </c>
      <c r="AV28" s="58">
        <v>222857</v>
      </c>
      <c r="AW28" s="58">
        <v>204450</v>
      </c>
      <c r="AX28" s="58">
        <v>188282</v>
      </c>
      <c r="AY28" s="58">
        <v>182610</v>
      </c>
      <c r="AZ28" s="58">
        <v>158628</v>
      </c>
      <c r="BA28" s="58">
        <v>138011</v>
      </c>
      <c r="BB28" s="58">
        <v>115234</v>
      </c>
      <c r="BC28" s="58">
        <v>88837</v>
      </c>
      <c r="BD28" s="58">
        <v>69077</v>
      </c>
      <c r="BE28" s="58">
        <v>50200</v>
      </c>
      <c r="BF28" s="58">
        <v>35992</v>
      </c>
      <c r="BG28" s="58">
        <v>36062</v>
      </c>
      <c r="BH28" s="18">
        <v>2068307</v>
      </c>
    </row>
    <row r="29" spans="1:60" x14ac:dyDescent="0.2">
      <c r="A29" s="18">
        <v>25</v>
      </c>
      <c r="B29" s="18" t="s">
        <v>24</v>
      </c>
      <c r="C29" s="58">
        <v>2252132</v>
      </c>
      <c r="D29" s="58">
        <v>1153207</v>
      </c>
      <c r="E29" s="58">
        <v>1098925</v>
      </c>
      <c r="F29" s="18">
        <v>1606107</v>
      </c>
      <c r="G29" s="18">
        <v>646025</v>
      </c>
      <c r="H29" s="18">
        <v>290640</v>
      </c>
      <c r="I29" s="18">
        <v>355385</v>
      </c>
      <c r="J29" s="58">
        <v>17261</v>
      </c>
      <c r="K29" s="58">
        <v>23984</v>
      </c>
      <c r="L29" s="58">
        <v>133029</v>
      </c>
      <c r="M29" s="58">
        <v>132034</v>
      </c>
      <c r="N29" s="58">
        <v>116857</v>
      </c>
      <c r="O29" s="58">
        <v>108741</v>
      </c>
      <c r="P29" s="58">
        <v>105939</v>
      </c>
      <c r="Q29" s="58">
        <v>107285</v>
      </c>
      <c r="R29" s="58">
        <v>92951</v>
      </c>
      <c r="S29" s="58">
        <v>82167</v>
      </c>
      <c r="T29" s="58">
        <v>70402</v>
      </c>
      <c r="U29" s="58">
        <v>55039</v>
      </c>
      <c r="V29" s="58">
        <v>41264</v>
      </c>
      <c r="W29" s="58">
        <v>29050</v>
      </c>
      <c r="X29" s="58">
        <v>19729</v>
      </c>
      <c r="Y29" s="58">
        <v>17475</v>
      </c>
      <c r="Z29" s="58">
        <v>1153207</v>
      </c>
      <c r="AA29" s="58">
        <v>16664</v>
      </c>
      <c r="AB29" s="58">
        <v>23253</v>
      </c>
      <c r="AC29" s="58">
        <v>132695</v>
      </c>
      <c r="AD29" s="58">
        <v>131623</v>
      </c>
      <c r="AE29" s="58">
        <v>115063</v>
      </c>
      <c r="AF29" s="58">
        <v>105528</v>
      </c>
      <c r="AG29" s="58">
        <v>102172</v>
      </c>
      <c r="AH29" s="58">
        <v>103130</v>
      </c>
      <c r="AI29" s="58">
        <v>87708</v>
      </c>
      <c r="AJ29" s="58">
        <v>74642</v>
      </c>
      <c r="AK29" s="58">
        <v>62768</v>
      </c>
      <c r="AL29" s="58">
        <v>49802</v>
      </c>
      <c r="AM29" s="58">
        <v>37619</v>
      </c>
      <c r="AN29" s="58">
        <v>26245</v>
      </c>
      <c r="AO29" s="58">
        <v>16961</v>
      </c>
      <c r="AP29" s="58">
        <v>13052</v>
      </c>
      <c r="AQ29" s="58">
        <v>1098925</v>
      </c>
      <c r="AR29" s="58">
        <v>33925</v>
      </c>
      <c r="AS29" s="58">
        <v>47237</v>
      </c>
      <c r="AT29" s="58">
        <v>265724</v>
      </c>
      <c r="AU29" s="58">
        <v>263657</v>
      </c>
      <c r="AV29" s="58">
        <v>231920</v>
      </c>
      <c r="AW29" s="58">
        <v>214269</v>
      </c>
      <c r="AX29" s="58">
        <v>208111</v>
      </c>
      <c r="AY29" s="58">
        <v>210415</v>
      </c>
      <c r="AZ29" s="58">
        <v>180659</v>
      </c>
      <c r="BA29" s="58">
        <v>156809</v>
      </c>
      <c r="BB29" s="58">
        <v>133170</v>
      </c>
      <c r="BC29" s="58">
        <v>104841</v>
      </c>
      <c r="BD29" s="58">
        <v>78883</v>
      </c>
      <c r="BE29" s="58">
        <v>55295</v>
      </c>
      <c r="BF29" s="58">
        <v>36690</v>
      </c>
      <c r="BG29" s="58">
        <v>30527</v>
      </c>
      <c r="BH29" s="18">
        <v>2252132</v>
      </c>
    </row>
    <row r="30" spans="1:60" x14ac:dyDescent="0.2">
      <c r="A30" s="18">
        <v>26</v>
      </c>
      <c r="B30" s="18" t="s">
        <v>25</v>
      </c>
      <c r="C30" s="58">
        <v>2187666</v>
      </c>
      <c r="D30" s="58">
        <v>1102719</v>
      </c>
      <c r="E30" s="58">
        <v>1084947</v>
      </c>
      <c r="F30" s="18">
        <v>1724349</v>
      </c>
      <c r="G30" s="18">
        <v>463317</v>
      </c>
      <c r="H30" s="18">
        <v>235756</v>
      </c>
      <c r="I30" s="18">
        <v>227561</v>
      </c>
      <c r="J30" s="58">
        <v>16949</v>
      </c>
      <c r="K30" s="58">
        <v>22455</v>
      </c>
      <c r="L30" s="58">
        <v>127397</v>
      </c>
      <c r="M30" s="58">
        <v>125424</v>
      </c>
      <c r="N30" s="58">
        <v>112946</v>
      </c>
      <c r="O30" s="58">
        <v>107724</v>
      </c>
      <c r="P30" s="58">
        <v>104997</v>
      </c>
      <c r="Q30" s="58">
        <v>104908</v>
      </c>
      <c r="R30" s="58">
        <v>91363</v>
      </c>
      <c r="S30" s="58">
        <v>79753</v>
      </c>
      <c r="T30" s="58">
        <v>67891</v>
      </c>
      <c r="U30" s="58">
        <v>51156</v>
      </c>
      <c r="V30" s="58">
        <v>36402</v>
      </c>
      <c r="W30" s="58">
        <v>24807</v>
      </c>
      <c r="X30" s="58">
        <v>15903</v>
      </c>
      <c r="Y30" s="58">
        <v>12644</v>
      </c>
      <c r="Z30" s="58">
        <v>1102719</v>
      </c>
      <c r="AA30" s="58">
        <v>16406</v>
      </c>
      <c r="AB30" s="58">
        <v>22617</v>
      </c>
      <c r="AC30" s="58">
        <v>129898</v>
      </c>
      <c r="AD30" s="58">
        <v>129124</v>
      </c>
      <c r="AE30" s="58">
        <v>116208</v>
      </c>
      <c r="AF30" s="58">
        <v>109847</v>
      </c>
      <c r="AG30" s="58">
        <v>105319</v>
      </c>
      <c r="AH30" s="58">
        <v>105154</v>
      </c>
      <c r="AI30" s="58">
        <v>89417</v>
      </c>
      <c r="AJ30" s="58">
        <v>75714</v>
      </c>
      <c r="AK30" s="58">
        <v>62728</v>
      </c>
      <c r="AL30" s="58">
        <v>46962</v>
      </c>
      <c r="AM30" s="58">
        <v>32652</v>
      </c>
      <c r="AN30" s="58">
        <v>21174</v>
      </c>
      <c r="AO30" s="58">
        <v>12857</v>
      </c>
      <c r="AP30" s="58">
        <v>8870</v>
      </c>
      <c r="AQ30" s="58">
        <v>1084947</v>
      </c>
      <c r="AR30" s="58">
        <v>33355</v>
      </c>
      <c r="AS30" s="58">
        <v>45072</v>
      </c>
      <c r="AT30" s="58">
        <v>257295</v>
      </c>
      <c r="AU30" s="58">
        <v>254548</v>
      </c>
      <c r="AV30" s="58">
        <v>229154</v>
      </c>
      <c r="AW30" s="58">
        <v>217571</v>
      </c>
      <c r="AX30" s="58">
        <v>210316</v>
      </c>
      <c r="AY30" s="58">
        <v>210062</v>
      </c>
      <c r="AZ30" s="58">
        <v>180780</v>
      </c>
      <c r="BA30" s="58">
        <v>155467</v>
      </c>
      <c r="BB30" s="58">
        <v>130619</v>
      </c>
      <c r="BC30" s="58">
        <v>98118</v>
      </c>
      <c r="BD30" s="58">
        <v>69054</v>
      </c>
      <c r="BE30" s="58">
        <v>45981</v>
      </c>
      <c r="BF30" s="58">
        <v>28760</v>
      </c>
      <c r="BG30" s="58">
        <v>21514</v>
      </c>
      <c r="BH30" s="18">
        <v>2187666</v>
      </c>
    </row>
    <row r="31" spans="1:60" x14ac:dyDescent="0.2">
      <c r="A31" s="18">
        <v>27</v>
      </c>
      <c r="B31" s="18" t="s">
        <v>26</v>
      </c>
      <c r="C31" s="58">
        <v>1752768</v>
      </c>
      <c r="D31" s="58">
        <v>909894</v>
      </c>
      <c r="E31" s="58">
        <v>842874</v>
      </c>
      <c r="F31" s="18">
        <v>856769</v>
      </c>
      <c r="G31" s="18">
        <v>895999</v>
      </c>
      <c r="H31" s="18">
        <v>217393</v>
      </c>
      <c r="I31" s="18">
        <v>678606</v>
      </c>
      <c r="J31" s="58">
        <v>14956</v>
      </c>
      <c r="K31" s="58">
        <v>19825</v>
      </c>
      <c r="L31" s="58">
        <v>105166</v>
      </c>
      <c r="M31" s="58">
        <v>106590</v>
      </c>
      <c r="N31" s="58">
        <v>102204</v>
      </c>
      <c r="O31" s="58">
        <v>100941</v>
      </c>
      <c r="P31" s="58">
        <v>93899</v>
      </c>
      <c r="Q31" s="58">
        <v>86046</v>
      </c>
      <c r="R31" s="58">
        <v>71580</v>
      </c>
      <c r="S31" s="58">
        <v>61132</v>
      </c>
      <c r="T31" s="58">
        <v>48115</v>
      </c>
      <c r="U31" s="58">
        <v>35706</v>
      </c>
      <c r="V31" s="58">
        <v>24857</v>
      </c>
      <c r="W31" s="58">
        <v>16499</v>
      </c>
      <c r="X31" s="58">
        <v>11630</v>
      </c>
      <c r="Y31" s="58">
        <v>10748</v>
      </c>
      <c r="Z31" s="58">
        <v>909894</v>
      </c>
      <c r="AA31" s="58">
        <v>14953</v>
      </c>
      <c r="AB31" s="58">
        <v>19855</v>
      </c>
      <c r="AC31" s="58">
        <v>103230</v>
      </c>
      <c r="AD31" s="58">
        <v>101384</v>
      </c>
      <c r="AE31" s="58">
        <v>94000</v>
      </c>
      <c r="AF31" s="58">
        <v>90612</v>
      </c>
      <c r="AG31" s="58">
        <v>83813</v>
      </c>
      <c r="AH31" s="58">
        <v>77219</v>
      </c>
      <c r="AI31" s="58">
        <v>65111</v>
      </c>
      <c r="AJ31" s="58">
        <v>57009</v>
      </c>
      <c r="AK31" s="58">
        <v>45078</v>
      </c>
      <c r="AL31" s="58">
        <v>33714</v>
      </c>
      <c r="AM31" s="58">
        <v>23280</v>
      </c>
      <c r="AN31" s="58">
        <v>14829</v>
      </c>
      <c r="AO31" s="58">
        <v>10269</v>
      </c>
      <c r="AP31" s="58">
        <v>8518</v>
      </c>
      <c r="AQ31" s="58">
        <v>842874</v>
      </c>
      <c r="AR31" s="58">
        <v>29909</v>
      </c>
      <c r="AS31" s="58">
        <v>39680</v>
      </c>
      <c r="AT31" s="58">
        <v>208396</v>
      </c>
      <c r="AU31" s="58">
        <v>207974</v>
      </c>
      <c r="AV31" s="58">
        <v>196204</v>
      </c>
      <c r="AW31" s="58">
        <v>191553</v>
      </c>
      <c r="AX31" s="58">
        <v>177712</v>
      </c>
      <c r="AY31" s="58">
        <v>163265</v>
      </c>
      <c r="AZ31" s="58">
        <v>136691</v>
      </c>
      <c r="BA31" s="58">
        <v>118141</v>
      </c>
      <c r="BB31" s="58">
        <v>93193</v>
      </c>
      <c r="BC31" s="58">
        <v>69420</v>
      </c>
      <c r="BD31" s="58">
        <v>48137</v>
      </c>
      <c r="BE31" s="58">
        <v>31328</v>
      </c>
      <c r="BF31" s="58">
        <v>21899</v>
      </c>
      <c r="BG31" s="58">
        <v>19266</v>
      </c>
      <c r="BH31" s="18">
        <v>1752768</v>
      </c>
    </row>
    <row r="32" spans="1:60" x14ac:dyDescent="0.2">
      <c r="A32" s="18">
        <v>28</v>
      </c>
      <c r="B32" s="18" t="s">
        <v>27</v>
      </c>
      <c r="C32" s="58">
        <v>2735951</v>
      </c>
      <c r="D32" s="58">
        <v>1395965</v>
      </c>
      <c r="E32" s="58">
        <v>1339986</v>
      </c>
      <c r="F32" s="18">
        <v>2109724</v>
      </c>
      <c r="G32" s="18">
        <v>626227</v>
      </c>
      <c r="H32" s="18">
        <v>400523</v>
      </c>
      <c r="I32" s="18">
        <v>225704</v>
      </c>
      <c r="J32" s="58">
        <v>21544</v>
      </c>
      <c r="K32" s="58">
        <v>27677</v>
      </c>
      <c r="L32" s="58">
        <v>149685</v>
      </c>
      <c r="M32" s="58">
        <v>152648</v>
      </c>
      <c r="N32" s="58">
        <v>141805</v>
      </c>
      <c r="O32" s="58">
        <v>137859</v>
      </c>
      <c r="P32" s="58">
        <v>135233</v>
      </c>
      <c r="Q32" s="58">
        <v>134177</v>
      </c>
      <c r="R32" s="58">
        <v>119715</v>
      </c>
      <c r="S32" s="58">
        <v>101522</v>
      </c>
      <c r="T32" s="58">
        <v>83861</v>
      </c>
      <c r="U32" s="58">
        <v>62623</v>
      </c>
      <c r="V32" s="58">
        <v>47667</v>
      </c>
      <c r="W32" s="58">
        <v>34197</v>
      </c>
      <c r="X32" s="58">
        <v>23450</v>
      </c>
      <c r="Y32" s="58">
        <v>22302</v>
      </c>
      <c r="Z32" s="58">
        <v>1395965</v>
      </c>
      <c r="AA32" s="58">
        <v>22281</v>
      </c>
      <c r="AB32" s="58">
        <v>27879</v>
      </c>
      <c r="AC32" s="58">
        <v>152845</v>
      </c>
      <c r="AD32" s="58">
        <v>156187</v>
      </c>
      <c r="AE32" s="58">
        <v>142452</v>
      </c>
      <c r="AF32" s="58">
        <v>136307</v>
      </c>
      <c r="AG32" s="58">
        <v>131733</v>
      </c>
      <c r="AH32" s="58">
        <v>128990</v>
      </c>
      <c r="AI32" s="58">
        <v>113217</v>
      </c>
      <c r="AJ32" s="58">
        <v>94035</v>
      </c>
      <c r="AK32" s="58">
        <v>75545</v>
      </c>
      <c r="AL32" s="58">
        <v>55703</v>
      </c>
      <c r="AM32" s="58">
        <v>40531</v>
      </c>
      <c r="AN32" s="58">
        <v>28100</v>
      </c>
      <c r="AO32" s="58">
        <v>18482</v>
      </c>
      <c r="AP32" s="58">
        <v>15699</v>
      </c>
      <c r="AQ32" s="58">
        <v>1339986</v>
      </c>
      <c r="AR32" s="58">
        <v>43825</v>
      </c>
      <c r="AS32" s="58">
        <v>55556</v>
      </c>
      <c r="AT32" s="58">
        <v>302530</v>
      </c>
      <c r="AU32" s="58">
        <v>308835</v>
      </c>
      <c r="AV32" s="58">
        <v>284257</v>
      </c>
      <c r="AW32" s="58">
        <v>274166</v>
      </c>
      <c r="AX32" s="58">
        <v>266966</v>
      </c>
      <c r="AY32" s="58">
        <v>263167</v>
      </c>
      <c r="AZ32" s="58">
        <v>232932</v>
      </c>
      <c r="BA32" s="58">
        <v>195557</v>
      </c>
      <c r="BB32" s="58">
        <v>159406</v>
      </c>
      <c r="BC32" s="58">
        <v>118326</v>
      </c>
      <c r="BD32" s="58">
        <v>88198</v>
      </c>
      <c r="BE32" s="58">
        <v>62297</v>
      </c>
      <c r="BF32" s="58">
        <v>41932</v>
      </c>
      <c r="BG32" s="58">
        <v>38001</v>
      </c>
      <c r="BH32" s="18">
        <v>2735951</v>
      </c>
    </row>
    <row r="33" spans="1:60" x14ac:dyDescent="0.2">
      <c r="A33" s="18">
        <v>29</v>
      </c>
      <c r="B33" s="18" t="s">
        <v>28</v>
      </c>
      <c r="C33" s="58">
        <v>973400</v>
      </c>
      <c r="D33" s="58">
        <v>512552</v>
      </c>
      <c r="E33" s="58">
        <v>460848</v>
      </c>
      <c r="F33" s="18">
        <v>749094</v>
      </c>
      <c r="G33" s="18">
        <v>224306</v>
      </c>
      <c r="H33" s="18">
        <v>172051</v>
      </c>
      <c r="I33" s="18">
        <v>52255</v>
      </c>
      <c r="J33" s="18">
        <v>7774</v>
      </c>
      <c r="K33" s="18">
        <v>11315</v>
      </c>
      <c r="L33" s="18">
        <v>61809</v>
      </c>
      <c r="M33" s="18">
        <v>62400</v>
      </c>
      <c r="N33" s="18">
        <v>56861</v>
      </c>
      <c r="O33" s="18">
        <v>55133</v>
      </c>
      <c r="P33" s="18">
        <v>52474</v>
      </c>
      <c r="Q33" s="18">
        <v>48081</v>
      </c>
      <c r="R33" s="18">
        <v>40118</v>
      </c>
      <c r="S33" s="18">
        <v>33158</v>
      </c>
      <c r="T33" s="18">
        <v>26396</v>
      </c>
      <c r="U33" s="18">
        <v>19157</v>
      </c>
      <c r="V33" s="18">
        <v>14103</v>
      </c>
      <c r="W33" s="18">
        <v>9705</v>
      </c>
      <c r="X33" s="18">
        <v>6906</v>
      </c>
      <c r="Y33" s="18">
        <v>7162</v>
      </c>
      <c r="Z33" s="18">
        <v>512552</v>
      </c>
      <c r="AA33" s="18">
        <v>8168</v>
      </c>
      <c r="AB33" s="18">
        <v>11149</v>
      </c>
      <c r="AC33" s="18">
        <v>61450</v>
      </c>
      <c r="AD33" s="18">
        <v>61361</v>
      </c>
      <c r="AE33" s="18">
        <v>52690</v>
      </c>
      <c r="AF33" s="18">
        <v>48332</v>
      </c>
      <c r="AG33" s="18">
        <v>45414</v>
      </c>
      <c r="AH33" s="18">
        <v>41413</v>
      </c>
      <c r="AI33" s="18">
        <v>34074</v>
      </c>
      <c r="AJ33" s="18">
        <v>28032</v>
      </c>
      <c r="AK33" s="18">
        <v>22173</v>
      </c>
      <c r="AL33" s="18">
        <v>16321</v>
      </c>
      <c r="AM33" s="18">
        <v>11821</v>
      </c>
      <c r="AN33" s="18">
        <v>8179</v>
      </c>
      <c r="AO33" s="18">
        <v>5319</v>
      </c>
      <c r="AP33" s="18">
        <v>4952</v>
      </c>
      <c r="AQ33" s="18">
        <v>460848</v>
      </c>
      <c r="AR33" s="18">
        <v>15942</v>
      </c>
      <c r="AS33" s="18">
        <v>22464</v>
      </c>
      <c r="AT33" s="18">
        <v>123259</v>
      </c>
      <c r="AU33" s="18">
        <v>123761</v>
      </c>
      <c r="AV33" s="18">
        <v>109551</v>
      </c>
      <c r="AW33" s="18">
        <v>103465</v>
      </c>
      <c r="AX33" s="18">
        <v>97888</v>
      </c>
      <c r="AY33" s="18">
        <v>89494</v>
      </c>
      <c r="AZ33" s="18">
        <v>74192</v>
      </c>
      <c r="BA33" s="18">
        <v>61190</v>
      </c>
      <c r="BB33" s="18">
        <v>48569</v>
      </c>
      <c r="BC33" s="18">
        <v>35478</v>
      </c>
      <c r="BD33" s="18">
        <v>25924</v>
      </c>
      <c r="BE33" s="18">
        <v>17884</v>
      </c>
      <c r="BF33" s="18">
        <v>12225</v>
      </c>
      <c r="BG33" s="18">
        <v>12114</v>
      </c>
      <c r="BH33" s="18">
        <v>973400</v>
      </c>
    </row>
    <row r="34" spans="1:60" x14ac:dyDescent="0.2">
      <c r="A34" s="18">
        <v>30</v>
      </c>
      <c r="B34" s="18" t="s">
        <v>29</v>
      </c>
      <c r="C34" s="58">
        <v>5979649</v>
      </c>
      <c r="D34" s="58">
        <v>3150392</v>
      </c>
      <c r="E34" s="58">
        <v>2829257</v>
      </c>
      <c r="F34" s="18">
        <v>3268130</v>
      </c>
      <c r="G34" s="18">
        <v>2711519</v>
      </c>
      <c r="H34" s="18">
        <v>808171</v>
      </c>
      <c r="I34" s="18">
        <v>1903348</v>
      </c>
      <c r="J34" s="18">
        <v>43830</v>
      </c>
      <c r="K34" s="18">
        <v>59924</v>
      </c>
      <c r="L34" s="18">
        <v>336107</v>
      </c>
      <c r="M34" s="18">
        <v>347463</v>
      </c>
      <c r="N34" s="18">
        <v>322451</v>
      </c>
      <c r="O34" s="18">
        <v>307188</v>
      </c>
      <c r="P34" s="18">
        <v>295879</v>
      </c>
      <c r="Q34" s="18">
        <v>289364</v>
      </c>
      <c r="R34" s="18">
        <v>262923</v>
      </c>
      <c r="S34" s="18">
        <v>231471</v>
      </c>
      <c r="T34" s="18">
        <v>190304</v>
      </c>
      <c r="U34" s="18">
        <v>152751</v>
      </c>
      <c r="V34" s="18">
        <v>116379</v>
      </c>
      <c r="W34" s="18">
        <v>82014</v>
      </c>
      <c r="X34" s="18">
        <v>57972</v>
      </c>
      <c r="Y34" s="18">
        <v>54372</v>
      </c>
      <c r="Z34" s="18">
        <v>3150392</v>
      </c>
      <c r="AA34" s="18">
        <v>44875</v>
      </c>
      <c r="AB34" s="18">
        <v>60242</v>
      </c>
      <c r="AC34" s="18">
        <v>331757</v>
      </c>
      <c r="AD34" s="18">
        <v>333337</v>
      </c>
      <c r="AE34" s="18">
        <v>294566</v>
      </c>
      <c r="AF34" s="18">
        <v>272677</v>
      </c>
      <c r="AG34" s="18">
        <v>256564</v>
      </c>
      <c r="AH34" s="18">
        <v>250790</v>
      </c>
      <c r="AI34" s="18">
        <v>227334</v>
      </c>
      <c r="AJ34" s="18">
        <v>201749</v>
      </c>
      <c r="AK34" s="18">
        <v>166170</v>
      </c>
      <c r="AL34" s="18">
        <v>132481</v>
      </c>
      <c r="AM34" s="18">
        <v>101126</v>
      </c>
      <c r="AN34" s="18">
        <v>70038</v>
      </c>
      <c r="AO34" s="18">
        <v>46679</v>
      </c>
      <c r="AP34" s="18">
        <v>38872</v>
      </c>
      <c r="AQ34" s="18">
        <v>2829257</v>
      </c>
      <c r="AR34" s="18">
        <v>88705</v>
      </c>
      <c r="AS34" s="18">
        <v>120166</v>
      </c>
      <c r="AT34" s="18">
        <v>667864</v>
      </c>
      <c r="AU34" s="18">
        <v>680800</v>
      </c>
      <c r="AV34" s="18">
        <v>617017</v>
      </c>
      <c r="AW34" s="18">
        <v>579865</v>
      </c>
      <c r="AX34" s="18">
        <v>552443</v>
      </c>
      <c r="AY34" s="18">
        <v>540154</v>
      </c>
      <c r="AZ34" s="18">
        <v>490257</v>
      </c>
      <c r="BA34" s="18">
        <v>433220</v>
      </c>
      <c r="BB34" s="18">
        <v>356474</v>
      </c>
      <c r="BC34" s="18">
        <v>285232</v>
      </c>
      <c r="BD34" s="18">
        <v>217505</v>
      </c>
      <c r="BE34" s="18">
        <v>152052</v>
      </c>
      <c r="BF34" s="18">
        <v>104651</v>
      </c>
      <c r="BG34" s="18">
        <v>93244</v>
      </c>
      <c r="BH34" s="18">
        <v>5979649</v>
      </c>
    </row>
    <row r="35" spans="1:60" x14ac:dyDescent="0.2">
      <c r="A35" s="18">
        <v>31</v>
      </c>
      <c r="B35" s="18" t="s">
        <v>30</v>
      </c>
      <c r="C35" s="58">
        <v>1660072</v>
      </c>
      <c r="D35" s="58">
        <v>851174</v>
      </c>
      <c r="E35" s="58">
        <v>808898</v>
      </c>
      <c r="F35" s="18">
        <v>1230935</v>
      </c>
      <c r="G35" s="18">
        <v>429137</v>
      </c>
      <c r="H35" s="18">
        <v>321524</v>
      </c>
      <c r="I35" s="18">
        <v>107613</v>
      </c>
      <c r="J35" s="18">
        <v>12405</v>
      </c>
      <c r="K35" s="18">
        <v>16860</v>
      </c>
      <c r="L35" s="18">
        <v>95587</v>
      </c>
      <c r="M35" s="18">
        <v>98681</v>
      </c>
      <c r="N35" s="18">
        <v>93672</v>
      </c>
      <c r="O35" s="18">
        <v>89606</v>
      </c>
      <c r="P35" s="18">
        <v>83075</v>
      </c>
      <c r="Q35" s="18">
        <v>79561</v>
      </c>
      <c r="R35" s="18">
        <v>64342</v>
      </c>
      <c r="S35" s="18">
        <v>56036</v>
      </c>
      <c r="T35" s="18">
        <v>46424</v>
      </c>
      <c r="U35" s="18">
        <v>39027</v>
      </c>
      <c r="V35" s="18">
        <v>30392</v>
      </c>
      <c r="W35" s="18">
        <v>19794</v>
      </c>
      <c r="X35" s="18">
        <v>13393</v>
      </c>
      <c r="Y35" s="18">
        <v>12319</v>
      </c>
      <c r="Z35" s="18">
        <v>851174</v>
      </c>
      <c r="AA35" s="18">
        <v>12519</v>
      </c>
      <c r="AB35" s="18">
        <v>17390</v>
      </c>
      <c r="AC35" s="18">
        <v>96674</v>
      </c>
      <c r="AD35" s="18">
        <v>99691</v>
      </c>
      <c r="AE35" s="18">
        <v>92091</v>
      </c>
      <c r="AF35" s="18">
        <v>86055</v>
      </c>
      <c r="AG35" s="18">
        <v>78278</v>
      </c>
      <c r="AH35" s="18">
        <v>73913</v>
      </c>
      <c r="AI35" s="18">
        <v>58605</v>
      </c>
      <c r="AJ35" s="18">
        <v>50241</v>
      </c>
      <c r="AK35" s="18">
        <v>41789</v>
      </c>
      <c r="AL35" s="18">
        <v>34706</v>
      </c>
      <c r="AM35" s="18">
        <v>27889</v>
      </c>
      <c r="AN35" s="18">
        <v>17361</v>
      </c>
      <c r="AO35" s="18">
        <v>11831</v>
      </c>
      <c r="AP35" s="18">
        <v>9865</v>
      </c>
      <c r="AQ35" s="18">
        <v>808898</v>
      </c>
      <c r="AR35" s="18">
        <v>24924</v>
      </c>
      <c r="AS35" s="18">
        <v>34250</v>
      </c>
      <c r="AT35" s="18">
        <v>192261</v>
      </c>
      <c r="AU35" s="18">
        <v>198372</v>
      </c>
      <c r="AV35" s="18">
        <v>185763</v>
      </c>
      <c r="AW35" s="18">
        <v>175661</v>
      </c>
      <c r="AX35" s="18">
        <v>161353</v>
      </c>
      <c r="AY35" s="18">
        <v>153474</v>
      </c>
      <c r="AZ35" s="18">
        <v>122947</v>
      </c>
      <c r="BA35" s="18">
        <v>106277</v>
      </c>
      <c r="BB35" s="18">
        <v>88213</v>
      </c>
      <c r="BC35" s="18">
        <v>73733</v>
      </c>
      <c r="BD35" s="18">
        <v>58281</v>
      </c>
      <c r="BE35" s="18">
        <v>37155</v>
      </c>
      <c r="BF35" s="18">
        <v>25224</v>
      </c>
      <c r="BG35" s="18">
        <v>22184</v>
      </c>
      <c r="BH35" s="18">
        <v>1660072</v>
      </c>
    </row>
    <row r="36" spans="1:60" x14ac:dyDescent="0.2">
      <c r="A36" s="18">
        <v>32</v>
      </c>
      <c r="B36" s="18" t="s">
        <v>31</v>
      </c>
      <c r="C36" s="58">
        <v>1211038</v>
      </c>
      <c r="D36" s="58">
        <v>623598</v>
      </c>
      <c r="E36" s="58">
        <v>587440</v>
      </c>
      <c r="F36" s="18">
        <v>535716</v>
      </c>
      <c r="G36" s="18">
        <v>675322</v>
      </c>
      <c r="H36" s="18">
        <v>332942</v>
      </c>
      <c r="I36" s="18">
        <v>342380</v>
      </c>
      <c r="J36" s="18">
        <v>9231</v>
      </c>
      <c r="K36" s="18">
        <v>12266</v>
      </c>
      <c r="L36" s="18">
        <v>71666</v>
      </c>
      <c r="M36" s="18">
        <v>72226</v>
      </c>
      <c r="N36" s="18">
        <v>66833</v>
      </c>
      <c r="O36" s="18">
        <v>61362</v>
      </c>
      <c r="P36" s="18">
        <v>57860</v>
      </c>
      <c r="Q36" s="18">
        <v>55414</v>
      </c>
      <c r="R36" s="18">
        <v>49618</v>
      </c>
      <c r="S36" s="18">
        <v>43249</v>
      </c>
      <c r="T36" s="18">
        <v>35812</v>
      </c>
      <c r="U36" s="18">
        <v>27423</v>
      </c>
      <c r="V36" s="18">
        <v>21845</v>
      </c>
      <c r="W36" s="18">
        <v>16400</v>
      </c>
      <c r="X36" s="18">
        <v>11247</v>
      </c>
      <c r="Y36" s="18">
        <v>11146</v>
      </c>
      <c r="Z36" s="18">
        <v>623598</v>
      </c>
      <c r="AA36" s="18">
        <v>9412</v>
      </c>
      <c r="AB36" s="18">
        <v>11950</v>
      </c>
      <c r="AC36" s="18">
        <v>69642</v>
      </c>
      <c r="AD36" s="18">
        <v>70887</v>
      </c>
      <c r="AE36" s="18">
        <v>62801</v>
      </c>
      <c r="AF36" s="18">
        <v>56632</v>
      </c>
      <c r="AG36" s="18">
        <v>53178</v>
      </c>
      <c r="AH36" s="18">
        <v>53087</v>
      </c>
      <c r="AI36" s="18">
        <v>46019</v>
      </c>
      <c r="AJ36" s="18">
        <v>39966</v>
      </c>
      <c r="AK36" s="18">
        <v>32497</v>
      </c>
      <c r="AL36" s="18">
        <v>25733</v>
      </c>
      <c r="AM36" s="18">
        <v>20507</v>
      </c>
      <c r="AN36" s="18">
        <v>15380</v>
      </c>
      <c r="AO36" s="18">
        <v>10226</v>
      </c>
      <c r="AP36" s="18">
        <v>9523</v>
      </c>
      <c r="AQ36" s="18">
        <v>587440</v>
      </c>
      <c r="AR36" s="18">
        <v>18643</v>
      </c>
      <c r="AS36" s="18">
        <v>24216</v>
      </c>
      <c r="AT36" s="18">
        <v>141308</v>
      </c>
      <c r="AU36" s="18">
        <v>143113</v>
      </c>
      <c r="AV36" s="18">
        <v>129634</v>
      </c>
      <c r="AW36" s="18">
        <v>117994</v>
      </c>
      <c r="AX36" s="18">
        <v>111038</v>
      </c>
      <c r="AY36" s="18">
        <v>108501</v>
      </c>
      <c r="AZ36" s="18">
        <v>95637</v>
      </c>
      <c r="BA36" s="18">
        <v>83215</v>
      </c>
      <c r="BB36" s="18">
        <v>68309</v>
      </c>
      <c r="BC36" s="18">
        <v>53156</v>
      </c>
      <c r="BD36" s="18">
        <v>42352</v>
      </c>
      <c r="BE36" s="18">
        <v>31780</v>
      </c>
      <c r="BF36" s="18">
        <v>21473</v>
      </c>
      <c r="BG36" s="18">
        <v>20669</v>
      </c>
      <c r="BH36" s="18">
        <v>1211038</v>
      </c>
    </row>
    <row r="37" spans="1:60" ht="20.399999999999999" x14ac:dyDescent="0.2">
      <c r="A37" s="18">
        <v>33</v>
      </c>
      <c r="B37" s="18" t="s">
        <v>277</v>
      </c>
      <c r="C37" s="58">
        <v>93532133</v>
      </c>
      <c r="D37" s="58">
        <v>48464586</v>
      </c>
      <c r="E37" s="58">
        <v>45067547</v>
      </c>
      <c r="F37" s="18">
        <v>64419527</v>
      </c>
      <c r="G37" s="18">
        <v>29112606</v>
      </c>
      <c r="H37" s="18">
        <v>12745754</v>
      </c>
      <c r="I37" s="18">
        <v>16366852</v>
      </c>
      <c r="J37" s="18">
        <v>657235</v>
      </c>
      <c r="K37" s="18">
        <v>954508</v>
      </c>
      <c r="L37" s="18">
        <v>5530887</v>
      </c>
      <c r="M37" s="18">
        <v>5709346</v>
      </c>
      <c r="N37" s="18">
        <v>5252203</v>
      </c>
      <c r="O37" s="18">
        <v>4914086</v>
      </c>
      <c r="P37" s="18">
        <v>4643304</v>
      </c>
      <c r="Q37" s="18">
        <v>4513881</v>
      </c>
      <c r="R37" s="18">
        <v>3902804</v>
      </c>
      <c r="S37" s="18">
        <v>3354993</v>
      </c>
      <c r="T37" s="18">
        <v>2758468</v>
      </c>
      <c r="U37" s="18">
        <v>2119463</v>
      </c>
      <c r="V37" s="18">
        <v>1576570</v>
      </c>
      <c r="W37" s="18">
        <v>1108269</v>
      </c>
      <c r="X37" s="18">
        <v>748183</v>
      </c>
      <c r="Y37" s="18">
        <v>720386</v>
      </c>
      <c r="Z37" s="18">
        <v>48464586</v>
      </c>
      <c r="AA37" s="18">
        <v>661484</v>
      </c>
      <c r="AB37" s="18">
        <v>949961</v>
      </c>
      <c r="AC37" s="18">
        <v>5522628</v>
      </c>
      <c r="AD37" s="18">
        <v>5678937</v>
      </c>
      <c r="AE37" s="18">
        <v>5057111</v>
      </c>
      <c r="AF37" s="18">
        <v>4629923</v>
      </c>
      <c r="AG37" s="18">
        <v>4306586</v>
      </c>
      <c r="AH37" s="18">
        <v>4154310</v>
      </c>
      <c r="AI37" s="18">
        <v>3522630</v>
      </c>
      <c r="AJ37" s="18">
        <v>2965868</v>
      </c>
      <c r="AK37" s="18">
        <v>2410317</v>
      </c>
      <c r="AL37" s="18">
        <v>1845612</v>
      </c>
      <c r="AM37" s="18">
        <v>1354621</v>
      </c>
      <c r="AN37" s="18">
        <v>921196</v>
      </c>
      <c r="AO37" s="18">
        <v>587723</v>
      </c>
      <c r="AP37" s="18">
        <v>498640</v>
      </c>
      <c r="AQ37" s="18">
        <v>45067547</v>
      </c>
      <c r="AR37" s="18">
        <v>1318719</v>
      </c>
      <c r="AS37" s="18">
        <v>1904469</v>
      </c>
      <c r="AT37" s="18">
        <v>11053515</v>
      </c>
      <c r="AU37" s="18">
        <v>11388283</v>
      </c>
      <c r="AV37" s="18">
        <v>10309314</v>
      </c>
      <c r="AW37" s="18">
        <v>9544009</v>
      </c>
      <c r="AX37" s="18">
        <v>8949890</v>
      </c>
      <c r="AY37" s="18">
        <v>8668191</v>
      </c>
      <c r="AZ37" s="18">
        <v>7425434</v>
      </c>
      <c r="BA37" s="18">
        <v>6320861</v>
      </c>
      <c r="BB37" s="18">
        <v>5168785</v>
      </c>
      <c r="BC37" s="18">
        <v>3965075</v>
      </c>
      <c r="BD37" s="18">
        <v>2931191</v>
      </c>
      <c r="BE37" s="18">
        <v>2029465</v>
      </c>
      <c r="BF37" s="18">
        <v>1335906</v>
      </c>
      <c r="BG37" s="18">
        <v>1219026</v>
      </c>
      <c r="BH37" s="18">
        <v>93532133</v>
      </c>
    </row>
  </sheetData>
  <mergeCells count="1">
    <mergeCell ref="C2:BH2"/>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0DD95D-526B-4BED-96EA-51FB977B1EB9}">
  <dimension ref="A1:DX37"/>
  <sheetViews>
    <sheetView showGridLines="0" workbookViewId="0">
      <pane xSplit="2" ySplit="4" topLeftCell="AQ5" activePane="bottomRight" state="frozen"/>
      <selection pane="topRight" activeCell="C1" sqref="C1"/>
      <selection pane="bottomLeft" activeCell="A5" sqref="A5"/>
      <selection pane="bottomRight" activeCell="AR7" sqref="AR7:BH7"/>
    </sheetView>
  </sheetViews>
  <sheetFormatPr baseColWidth="10" defaultRowHeight="10.199999999999999" x14ac:dyDescent="0.2"/>
  <cols>
    <col min="1" max="1" width="3" style="54" bestFit="1" customWidth="1"/>
    <col min="2" max="2" width="18.28515625" style="50" bestFit="1" customWidth="1"/>
    <col min="3" max="3" width="5.5703125" style="50" bestFit="1" customWidth="1"/>
    <col min="4" max="4" width="8.140625" style="50" bestFit="1" customWidth="1"/>
    <col min="5" max="5" width="9" style="50" bestFit="1" customWidth="1"/>
    <col min="6" max="6" width="9" style="50" customWidth="1"/>
    <col min="7" max="7" width="10.42578125" style="50" bestFit="1" customWidth="1"/>
    <col min="8" max="9" width="10.42578125" style="50" customWidth="1"/>
    <col min="10" max="10" width="6.85546875" style="54" bestFit="1" customWidth="1"/>
    <col min="11" max="24" width="5.5703125" style="54" bestFit="1" customWidth="1"/>
    <col min="25" max="25" width="8.7109375" style="54" bestFit="1" customWidth="1"/>
    <col min="26" max="26" width="5" style="54" bestFit="1" customWidth="1"/>
    <col min="27" max="28" width="4.5703125" style="54" bestFit="1" customWidth="1"/>
    <col min="29" max="41" width="5.5703125" style="54" bestFit="1" customWidth="1"/>
    <col min="42" max="42" width="8.7109375" style="54" bestFit="1" customWidth="1"/>
    <col min="43" max="43" width="5" style="54" bestFit="1" customWidth="1"/>
    <col min="44" max="45" width="4.5703125" style="54" bestFit="1" customWidth="1"/>
    <col min="46" max="58" width="5.5703125" style="54" bestFit="1" customWidth="1"/>
    <col min="59" max="59" width="8.7109375" style="54" bestFit="1" customWidth="1"/>
    <col min="60" max="60" width="5" style="54" bestFit="1" customWidth="1"/>
    <col min="61" max="62" width="4.5703125" style="54" bestFit="1" customWidth="1"/>
    <col min="63" max="75" width="5.5703125" style="54" bestFit="1" customWidth="1"/>
    <col min="76" max="76" width="8.7109375" style="54" bestFit="1" customWidth="1"/>
    <col min="77" max="77" width="5" style="54" bestFit="1" customWidth="1"/>
    <col min="78" max="79" width="4.5703125" style="54" bestFit="1" customWidth="1"/>
    <col min="80" max="92" width="5.5703125" style="54" bestFit="1" customWidth="1"/>
    <col min="93" max="93" width="8.7109375" style="54" bestFit="1" customWidth="1"/>
    <col min="94" max="94" width="5" style="54" bestFit="1" customWidth="1"/>
    <col min="95" max="96" width="4.5703125" style="54" bestFit="1" customWidth="1"/>
    <col min="97" max="109" width="5.5703125" style="54" bestFit="1" customWidth="1"/>
    <col min="110" max="110" width="9" style="54" bestFit="1" customWidth="1"/>
    <col min="111" max="111" width="5.5703125" style="54" bestFit="1" customWidth="1"/>
    <col min="112" max="113" width="4.5703125" style="54" bestFit="1" customWidth="1"/>
    <col min="114" max="126" width="5.5703125" style="54" bestFit="1" customWidth="1"/>
    <col min="127" max="127" width="9" style="54" bestFit="1" customWidth="1"/>
    <col min="128" max="128" width="5.5703125" style="54" bestFit="1" customWidth="1"/>
    <col min="129" max="16384" width="11.42578125" style="54"/>
  </cols>
  <sheetData>
    <row r="1" spans="1:128" x14ac:dyDescent="0.2">
      <c r="A1" s="54">
        <v>1</v>
      </c>
      <c r="B1" s="54">
        <v>2</v>
      </c>
      <c r="C1" s="54">
        <v>3</v>
      </c>
      <c r="D1" s="54">
        <v>4</v>
      </c>
      <c r="E1" s="54">
        <v>5</v>
      </c>
      <c r="F1" s="54">
        <v>6</v>
      </c>
      <c r="G1" s="54">
        <v>7</v>
      </c>
      <c r="H1" s="54">
        <v>8</v>
      </c>
      <c r="I1" s="54">
        <v>9</v>
      </c>
      <c r="J1" s="54">
        <v>10</v>
      </c>
      <c r="K1" s="54">
        <v>11</v>
      </c>
      <c r="L1" s="54">
        <v>12</v>
      </c>
      <c r="M1" s="54">
        <v>13</v>
      </c>
      <c r="N1" s="54">
        <v>14</v>
      </c>
      <c r="O1" s="54">
        <v>15</v>
      </c>
      <c r="P1" s="54">
        <v>16</v>
      </c>
      <c r="Q1" s="54">
        <v>17</v>
      </c>
      <c r="R1" s="54">
        <v>18</v>
      </c>
      <c r="S1" s="54">
        <v>19</v>
      </c>
      <c r="T1" s="54">
        <v>20</v>
      </c>
      <c r="U1" s="54">
        <v>21</v>
      </c>
      <c r="V1" s="54">
        <v>22</v>
      </c>
      <c r="W1" s="54">
        <v>23</v>
      </c>
      <c r="X1" s="54">
        <v>24</v>
      </c>
      <c r="Y1" s="54">
        <v>25</v>
      </c>
      <c r="Z1" s="54">
        <v>26</v>
      </c>
      <c r="AA1" s="54">
        <v>27</v>
      </c>
      <c r="AB1" s="54">
        <v>28</v>
      </c>
      <c r="AC1" s="54">
        <v>29</v>
      </c>
      <c r="AD1" s="54">
        <v>30</v>
      </c>
      <c r="AE1" s="54">
        <v>31</v>
      </c>
      <c r="AF1" s="54">
        <v>32</v>
      </c>
      <c r="AG1" s="54">
        <v>33</v>
      </c>
      <c r="AH1" s="54">
        <v>34</v>
      </c>
      <c r="AI1" s="54">
        <v>35</v>
      </c>
      <c r="AJ1" s="54">
        <v>36</v>
      </c>
      <c r="AK1" s="54">
        <v>37</v>
      </c>
      <c r="AL1" s="54">
        <v>38</v>
      </c>
      <c r="AM1" s="54">
        <v>39</v>
      </c>
      <c r="AN1" s="54">
        <v>40</v>
      </c>
      <c r="AO1" s="54">
        <v>41</v>
      </c>
      <c r="AP1" s="54">
        <v>42</v>
      </c>
      <c r="AQ1" s="54">
        <v>43</v>
      </c>
      <c r="AR1" s="54">
        <v>44</v>
      </c>
      <c r="AS1" s="54">
        <v>45</v>
      </c>
      <c r="AT1" s="54">
        <v>46</v>
      </c>
      <c r="AU1" s="54">
        <v>47</v>
      </c>
      <c r="AV1" s="54">
        <v>48</v>
      </c>
      <c r="AW1" s="54">
        <v>49</v>
      </c>
      <c r="AX1" s="54">
        <v>50</v>
      </c>
      <c r="AY1" s="54">
        <v>51</v>
      </c>
      <c r="AZ1" s="54">
        <v>52</v>
      </c>
      <c r="BA1" s="54">
        <v>53</v>
      </c>
      <c r="BB1" s="54">
        <v>54</v>
      </c>
      <c r="BC1" s="54">
        <v>55</v>
      </c>
      <c r="BD1" s="54">
        <v>56</v>
      </c>
      <c r="BE1" s="54">
        <v>57</v>
      </c>
      <c r="BF1" s="54">
        <v>58</v>
      </c>
      <c r="BG1" s="54">
        <v>59</v>
      </c>
      <c r="BH1" s="54">
        <v>60</v>
      </c>
      <c r="BI1" s="54">
        <v>61</v>
      </c>
      <c r="BJ1" s="54">
        <v>62</v>
      </c>
      <c r="BK1" s="54">
        <v>63</v>
      </c>
      <c r="BL1" s="54">
        <v>64</v>
      </c>
      <c r="BM1" s="54">
        <v>65</v>
      </c>
      <c r="BN1" s="54">
        <v>66</v>
      </c>
      <c r="BO1" s="54">
        <v>67</v>
      </c>
      <c r="BP1" s="54">
        <v>68</v>
      </c>
      <c r="BQ1" s="54">
        <v>69</v>
      </c>
      <c r="BR1" s="54">
        <v>70</v>
      </c>
      <c r="BS1" s="54">
        <v>71</v>
      </c>
      <c r="BT1" s="54">
        <v>72</v>
      </c>
      <c r="BU1" s="54">
        <v>73</v>
      </c>
      <c r="BV1" s="54">
        <v>74</v>
      </c>
      <c r="BW1" s="54">
        <v>75</v>
      </c>
      <c r="BX1" s="54">
        <v>76</v>
      </c>
      <c r="BY1" s="54">
        <v>77</v>
      </c>
      <c r="BZ1" s="54">
        <v>78</v>
      </c>
      <c r="CA1" s="54">
        <v>79</v>
      </c>
      <c r="CB1" s="54">
        <v>80</v>
      </c>
      <c r="CC1" s="54">
        <v>81</v>
      </c>
      <c r="CD1" s="54">
        <v>82</v>
      </c>
      <c r="CE1" s="54">
        <v>83</v>
      </c>
      <c r="CF1" s="54">
        <v>84</v>
      </c>
      <c r="CG1" s="54">
        <v>85</v>
      </c>
      <c r="CH1" s="54">
        <v>86</v>
      </c>
      <c r="CI1" s="54">
        <v>87</v>
      </c>
      <c r="CJ1" s="54">
        <v>88</v>
      </c>
      <c r="CK1" s="54">
        <v>89</v>
      </c>
      <c r="CL1" s="54">
        <v>90</v>
      </c>
      <c r="CM1" s="54">
        <v>91</v>
      </c>
      <c r="CN1" s="54">
        <v>92</v>
      </c>
      <c r="CO1" s="54">
        <v>93</v>
      </c>
      <c r="CP1" s="54">
        <v>94</v>
      </c>
      <c r="CQ1" s="54">
        <v>95</v>
      </c>
      <c r="CR1" s="54">
        <v>96</v>
      </c>
      <c r="CS1" s="54">
        <v>97</v>
      </c>
      <c r="CT1" s="54">
        <v>98</v>
      </c>
      <c r="CU1" s="54">
        <v>99</v>
      </c>
      <c r="CV1" s="54">
        <v>100</v>
      </c>
      <c r="CW1" s="54">
        <v>101</v>
      </c>
      <c r="CX1" s="54">
        <v>102</v>
      </c>
      <c r="CY1" s="54">
        <v>103</v>
      </c>
      <c r="CZ1" s="54">
        <v>104</v>
      </c>
      <c r="DA1" s="54">
        <v>105</v>
      </c>
      <c r="DB1" s="54">
        <v>106</v>
      </c>
      <c r="DC1" s="54">
        <v>107</v>
      </c>
      <c r="DD1" s="54">
        <v>108</v>
      </c>
      <c r="DE1" s="54">
        <v>109</v>
      </c>
      <c r="DF1" s="54">
        <v>110</v>
      </c>
      <c r="DG1" s="54">
        <v>111</v>
      </c>
      <c r="DH1" s="54">
        <v>112</v>
      </c>
      <c r="DI1" s="54">
        <v>113</v>
      </c>
      <c r="DJ1" s="54">
        <v>114</v>
      </c>
      <c r="DK1" s="54">
        <v>115</v>
      </c>
      <c r="DL1" s="54">
        <v>116</v>
      </c>
      <c r="DM1" s="54">
        <v>117</v>
      </c>
      <c r="DN1" s="54">
        <v>118</v>
      </c>
      <c r="DO1" s="54">
        <v>119</v>
      </c>
      <c r="DP1" s="54">
        <v>120</v>
      </c>
      <c r="DQ1" s="54">
        <v>121</v>
      </c>
      <c r="DR1" s="54">
        <v>122</v>
      </c>
      <c r="DS1" s="54">
        <v>123</v>
      </c>
      <c r="DT1" s="54">
        <v>124</v>
      </c>
      <c r="DU1" s="54">
        <v>125</v>
      </c>
      <c r="DV1" s="54">
        <v>126</v>
      </c>
      <c r="DW1" s="54">
        <v>127</v>
      </c>
      <c r="DX1" s="54">
        <v>128</v>
      </c>
    </row>
    <row r="3" spans="1:128" s="50" customFormat="1" x14ac:dyDescent="0.2">
      <c r="J3" s="174" t="s">
        <v>172</v>
      </c>
      <c r="K3" s="174"/>
      <c r="L3" s="174"/>
      <c r="M3" s="174"/>
      <c r="N3" s="174"/>
      <c r="O3" s="174"/>
      <c r="P3" s="174"/>
      <c r="Q3" s="174"/>
      <c r="R3" s="174"/>
      <c r="S3" s="174"/>
      <c r="T3" s="174"/>
      <c r="U3" s="174"/>
      <c r="V3" s="174"/>
      <c r="W3" s="174"/>
      <c r="X3" s="174"/>
      <c r="Y3" s="174"/>
      <c r="Z3" s="174"/>
      <c r="AA3" s="174" t="s">
        <v>173</v>
      </c>
      <c r="AB3" s="174"/>
      <c r="AC3" s="174"/>
      <c r="AD3" s="174"/>
      <c r="AE3" s="174"/>
      <c r="AF3" s="174"/>
      <c r="AG3" s="174"/>
      <c r="AH3" s="174"/>
      <c r="AI3" s="174"/>
      <c r="AJ3" s="174"/>
      <c r="AK3" s="174"/>
      <c r="AL3" s="174"/>
      <c r="AM3" s="174"/>
      <c r="AN3" s="174"/>
      <c r="AO3" s="174"/>
      <c r="AP3" s="174"/>
      <c r="AQ3" s="174"/>
      <c r="AR3" s="174" t="s">
        <v>36</v>
      </c>
      <c r="AS3" s="174"/>
      <c r="AT3" s="174"/>
      <c r="AU3" s="174"/>
      <c r="AV3" s="174"/>
      <c r="AW3" s="174"/>
      <c r="AX3" s="174"/>
      <c r="AY3" s="174"/>
      <c r="AZ3" s="174"/>
      <c r="BA3" s="174"/>
      <c r="BB3" s="174"/>
      <c r="BC3" s="174"/>
      <c r="BD3" s="174"/>
      <c r="BE3" s="174"/>
      <c r="BF3" s="174"/>
      <c r="BG3" s="174"/>
      <c r="BH3" s="174"/>
      <c r="BI3" s="173" t="s">
        <v>54</v>
      </c>
      <c r="BJ3" s="173"/>
      <c r="BK3" s="173"/>
      <c r="BL3" s="173"/>
      <c r="BM3" s="173"/>
      <c r="BN3" s="173"/>
      <c r="BO3" s="173"/>
      <c r="BP3" s="173"/>
      <c r="BQ3" s="173"/>
      <c r="BR3" s="173"/>
      <c r="BS3" s="173"/>
      <c r="BT3" s="173"/>
      <c r="BU3" s="173"/>
      <c r="BV3" s="173"/>
      <c r="BW3" s="173"/>
      <c r="BX3" s="173"/>
      <c r="BY3" s="173"/>
      <c r="BZ3" s="173" t="s">
        <v>55</v>
      </c>
      <c r="CA3" s="173"/>
      <c r="CB3" s="173"/>
      <c r="CC3" s="173"/>
      <c r="CD3" s="173"/>
      <c r="CE3" s="173"/>
      <c r="CF3" s="173"/>
      <c r="CG3" s="173"/>
      <c r="CH3" s="173"/>
      <c r="CI3" s="173"/>
      <c r="CJ3" s="173"/>
      <c r="CK3" s="173"/>
      <c r="CL3" s="173"/>
      <c r="CM3" s="173"/>
      <c r="CN3" s="173"/>
      <c r="CO3" s="173"/>
      <c r="CP3" s="173"/>
      <c r="CQ3" s="173" t="s">
        <v>57</v>
      </c>
      <c r="CR3" s="173"/>
      <c r="CS3" s="173"/>
      <c r="CT3" s="173"/>
      <c r="CU3" s="173"/>
      <c r="CV3" s="173"/>
      <c r="CW3" s="173"/>
      <c r="CX3" s="173"/>
      <c r="CY3" s="173"/>
      <c r="CZ3" s="173"/>
      <c r="DA3" s="173"/>
      <c r="DB3" s="173"/>
      <c r="DC3" s="173"/>
      <c r="DD3" s="173"/>
      <c r="DE3" s="173"/>
      <c r="DF3" s="173"/>
      <c r="DG3" s="173"/>
      <c r="DH3" s="173" t="s">
        <v>56</v>
      </c>
      <c r="DI3" s="173"/>
      <c r="DJ3" s="173"/>
      <c r="DK3" s="173"/>
      <c r="DL3" s="173"/>
      <c r="DM3" s="173"/>
      <c r="DN3" s="173"/>
      <c r="DO3" s="173"/>
      <c r="DP3" s="173"/>
      <c r="DQ3" s="173"/>
      <c r="DR3" s="173"/>
      <c r="DS3" s="173"/>
      <c r="DT3" s="173"/>
      <c r="DU3" s="173"/>
      <c r="DV3" s="173"/>
      <c r="DW3" s="173"/>
      <c r="DX3" s="173"/>
    </row>
    <row r="4" spans="1:128" s="51" customFormat="1" x14ac:dyDescent="0.2">
      <c r="A4" s="38"/>
      <c r="B4" s="38" t="s">
        <v>33</v>
      </c>
      <c r="C4" s="38" t="s">
        <v>36</v>
      </c>
      <c r="D4" s="38" t="s">
        <v>175</v>
      </c>
      <c r="E4" s="38" t="s">
        <v>174</v>
      </c>
      <c r="F4" s="38" t="s">
        <v>335</v>
      </c>
      <c r="G4" s="38" t="s">
        <v>336</v>
      </c>
      <c r="H4" s="38" t="s">
        <v>57</v>
      </c>
      <c r="I4" s="38" t="s">
        <v>56</v>
      </c>
      <c r="J4" s="38">
        <v>18</v>
      </c>
      <c r="K4" s="38">
        <v>19</v>
      </c>
      <c r="L4" s="38" t="s">
        <v>39</v>
      </c>
      <c r="M4" s="38" t="s">
        <v>40</v>
      </c>
      <c r="N4" s="38" t="s">
        <v>41</v>
      </c>
      <c r="O4" s="38" t="s">
        <v>42</v>
      </c>
      <c r="P4" s="38" t="s">
        <v>43</v>
      </c>
      <c r="Q4" s="38" t="s">
        <v>44</v>
      </c>
      <c r="R4" s="38" t="s">
        <v>45</v>
      </c>
      <c r="S4" s="38" t="s">
        <v>46</v>
      </c>
      <c r="T4" s="38" t="s">
        <v>47</v>
      </c>
      <c r="U4" s="38" t="s">
        <v>48</v>
      </c>
      <c r="V4" s="38" t="s">
        <v>49</v>
      </c>
      <c r="W4" s="38" t="s">
        <v>50</v>
      </c>
      <c r="X4" s="38" t="s">
        <v>51</v>
      </c>
      <c r="Y4" s="38" t="s">
        <v>52</v>
      </c>
      <c r="Z4" s="38" t="s">
        <v>36</v>
      </c>
      <c r="AA4" s="38">
        <v>18</v>
      </c>
      <c r="AB4" s="38">
        <v>19</v>
      </c>
      <c r="AC4" s="38" t="s">
        <v>39</v>
      </c>
      <c r="AD4" s="38" t="s">
        <v>40</v>
      </c>
      <c r="AE4" s="38" t="s">
        <v>41</v>
      </c>
      <c r="AF4" s="38" t="s">
        <v>42</v>
      </c>
      <c r="AG4" s="38" t="s">
        <v>43</v>
      </c>
      <c r="AH4" s="38" t="s">
        <v>44</v>
      </c>
      <c r="AI4" s="38" t="s">
        <v>45</v>
      </c>
      <c r="AJ4" s="38" t="s">
        <v>46</v>
      </c>
      <c r="AK4" s="38" t="s">
        <v>47</v>
      </c>
      <c r="AL4" s="38" t="s">
        <v>48</v>
      </c>
      <c r="AM4" s="38" t="s">
        <v>49</v>
      </c>
      <c r="AN4" s="38" t="s">
        <v>50</v>
      </c>
      <c r="AO4" s="38" t="s">
        <v>51</v>
      </c>
      <c r="AP4" s="38" t="s">
        <v>52</v>
      </c>
      <c r="AQ4" s="38" t="s">
        <v>36</v>
      </c>
      <c r="AR4" s="38">
        <v>18</v>
      </c>
      <c r="AS4" s="38">
        <v>19</v>
      </c>
      <c r="AT4" s="38" t="s">
        <v>39</v>
      </c>
      <c r="AU4" s="38" t="s">
        <v>40</v>
      </c>
      <c r="AV4" s="38" t="s">
        <v>41</v>
      </c>
      <c r="AW4" s="38" t="s">
        <v>42</v>
      </c>
      <c r="AX4" s="38" t="s">
        <v>43</v>
      </c>
      <c r="AY4" s="38" t="s">
        <v>44</v>
      </c>
      <c r="AZ4" s="38" t="s">
        <v>45</v>
      </c>
      <c r="BA4" s="38" t="s">
        <v>46</v>
      </c>
      <c r="BB4" s="38" t="s">
        <v>47</v>
      </c>
      <c r="BC4" s="38" t="s">
        <v>48</v>
      </c>
      <c r="BD4" s="38" t="s">
        <v>49</v>
      </c>
      <c r="BE4" s="38" t="s">
        <v>50</v>
      </c>
      <c r="BF4" s="38" t="s">
        <v>51</v>
      </c>
      <c r="BG4" s="38" t="s">
        <v>52</v>
      </c>
      <c r="BH4" s="38" t="s">
        <v>36</v>
      </c>
      <c r="BI4" s="38">
        <v>18</v>
      </c>
      <c r="BJ4" s="38">
        <v>19</v>
      </c>
      <c r="BK4" s="38" t="s">
        <v>39</v>
      </c>
      <c r="BL4" s="38" t="s">
        <v>40</v>
      </c>
      <c r="BM4" s="38" t="s">
        <v>41</v>
      </c>
      <c r="BN4" s="38" t="s">
        <v>42</v>
      </c>
      <c r="BO4" s="38" t="s">
        <v>43</v>
      </c>
      <c r="BP4" s="38" t="s">
        <v>44</v>
      </c>
      <c r="BQ4" s="38" t="s">
        <v>45</v>
      </c>
      <c r="BR4" s="38" t="s">
        <v>46</v>
      </c>
      <c r="BS4" s="38" t="s">
        <v>47</v>
      </c>
      <c r="BT4" s="38" t="s">
        <v>48</v>
      </c>
      <c r="BU4" s="38" t="s">
        <v>49</v>
      </c>
      <c r="BV4" s="38" t="s">
        <v>50</v>
      </c>
      <c r="BW4" s="38" t="s">
        <v>51</v>
      </c>
      <c r="BX4" s="38" t="s">
        <v>52</v>
      </c>
      <c r="BY4" s="38" t="s">
        <v>36</v>
      </c>
      <c r="BZ4" s="38">
        <v>18</v>
      </c>
      <c r="CA4" s="38">
        <v>19</v>
      </c>
      <c r="CB4" s="38" t="s">
        <v>39</v>
      </c>
      <c r="CC4" s="38" t="s">
        <v>40</v>
      </c>
      <c r="CD4" s="38" t="s">
        <v>41</v>
      </c>
      <c r="CE4" s="38" t="s">
        <v>42</v>
      </c>
      <c r="CF4" s="38" t="s">
        <v>43</v>
      </c>
      <c r="CG4" s="38" t="s">
        <v>44</v>
      </c>
      <c r="CH4" s="38" t="s">
        <v>45</v>
      </c>
      <c r="CI4" s="38" t="s">
        <v>46</v>
      </c>
      <c r="CJ4" s="38" t="s">
        <v>47</v>
      </c>
      <c r="CK4" s="38" t="s">
        <v>48</v>
      </c>
      <c r="CL4" s="38" t="s">
        <v>49</v>
      </c>
      <c r="CM4" s="38" t="s">
        <v>50</v>
      </c>
      <c r="CN4" s="38" t="s">
        <v>51</v>
      </c>
      <c r="CO4" s="38" t="s">
        <v>52</v>
      </c>
      <c r="CP4" s="38" t="s">
        <v>36</v>
      </c>
      <c r="CQ4" s="38">
        <v>18</v>
      </c>
      <c r="CR4" s="38">
        <v>19</v>
      </c>
      <c r="CS4" s="38" t="s">
        <v>39</v>
      </c>
      <c r="CT4" s="38" t="s">
        <v>40</v>
      </c>
      <c r="CU4" s="38" t="s">
        <v>41</v>
      </c>
      <c r="CV4" s="38" t="s">
        <v>42</v>
      </c>
      <c r="CW4" s="38" t="s">
        <v>43</v>
      </c>
      <c r="CX4" s="38" t="s">
        <v>44</v>
      </c>
      <c r="CY4" s="38" t="s">
        <v>45</v>
      </c>
      <c r="CZ4" s="38" t="s">
        <v>46</v>
      </c>
      <c r="DA4" s="38" t="s">
        <v>47</v>
      </c>
      <c r="DB4" s="38" t="s">
        <v>48</v>
      </c>
      <c r="DC4" s="38" t="s">
        <v>49</v>
      </c>
      <c r="DD4" s="38" t="s">
        <v>50</v>
      </c>
      <c r="DE4" s="38" t="s">
        <v>51</v>
      </c>
      <c r="DF4" s="38" t="s">
        <v>52</v>
      </c>
      <c r="DG4" s="38" t="s">
        <v>36</v>
      </c>
      <c r="DH4" s="38">
        <v>18</v>
      </c>
      <c r="DI4" s="38">
        <v>19</v>
      </c>
      <c r="DJ4" s="38" t="s">
        <v>39</v>
      </c>
      <c r="DK4" s="38" t="s">
        <v>40</v>
      </c>
      <c r="DL4" s="38" t="s">
        <v>41</v>
      </c>
      <c r="DM4" s="38" t="s">
        <v>42</v>
      </c>
      <c r="DN4" s="38" t="s">
        <v>43</v>
      </c>
      <c r="DO4" s="38" t="s">
        <v>44</v>
      </c>
      <c r="DP4" s="38" t="s">
        <v>45</v>
      </c>
      <c r="DQ4" s="38" t="s">
        <v>46</v>
      </c>
      <c r="DR4" s="38" t="s">
        <v>47</v>
      </c>
      <c r="DS4" s="38" t="s">
        <v>48</v>
      </c>
      <c r="DT4" s="38" t="s">
        <v>49</v>
      </c>
      <c r="DU4" s="38" t="s">
        <v>50</v>
      </c>
      <c r="DV4" s="38" t="s">
        <v>51</v>
      </c>
      <c r="DW4" s="38" t="s">
        <v>52</v>
      </c>
      <c r="DX4" s="38" t="s">
        <v>36</v>
      </c>
    </row>
    <row r="5" spans="1:128" x14ac:dyDescent="0.2">
      <c r="A5" s="52">
        <v>1</v>
      </c>
      <c r="B5" s="50" t="s">
        <v>0</v>
      </c>
      <c r="C5" s="155">
        <v>49.582969999999996</v>
      </c>
      <c r="D5" s="155">
        <v>54.332679999999996</v>
      </c>
      <c r="E5" s="155">
        <v>44.488900000000001</v>
      </c>
      <c r="F5" s="155">
        <v>48.03687</v>
      </c>
      <c r="G5" s="155">
        <v>53.880969999999998</v>
      </c>
      <c r="H5" s="53">
        <v>50.472353400000003</v>
      </c>
      <c r="I5" s="53">
        <v>59.279132199999992</v>
      </c>
      <c r="J5" s="151">
        <v>54.854930000000003</v>
      </c>
      <c r="K5" s="151">
        <v>47.208219999999997</v>
      </c>
      <c r="L5" s="151">
        <v>43.61515</v>
      </c>
      <c r="M5" s="151">
        <v>43.538520000000005</v>
      </c>
      <c r="N5" s="151">
        <v>46.98413</v>
      </c>
      <c r="O5" s="151">
        <v>50.199150000000003</v>
      </c>
      <c r="P5" s="151">
        <v>55.886020000000002</v>
      </c>
      <c r="Q5" s="151">
        <v>61.097429999999996</v>
      </c>
      <c r="R5" s="151">
        <v>62.849509999999995</v>
      </c>
      <c r="S5" s="151">
        <v>66.955650000000006</v>
      </c>
      <c r="T5" s="151">
        <v>68.915350000000004</v>
      </c>
      <c r="U5" s="151">
        <v>70.862679999999997</v>
      </c>
      <c r="V5" s="151">
        <v>68.386470000000003</v>
      </c>
      <c r="W5" s="151">
        <v>62.868299999999998</v>
      </c>
      <c r="X5" s="151">
        <v>52.750390000000003</v>
      </c>
      <c r="Y5" s="151">
        <v>36.475950000000005</v>
      </c>
      <c r="Z5" s="152">
        <v>54.332679999999996</v>
      </c>
      <c r="AA5" s="151">
        <v>44.828479999999999</v>
      </c>
      <c r="AB5" s="151">
        <v>42.547739999999997</v>
      </c>
      <c r="AC5" s="151">
        <v>34.726300000000002</v>
      </c>
      <c r="AD5" s="151">
        <v>33.106549999999999</v>
      </c>
      <c r="AE5" s="151">
        <v>34.558729999999997</v>
      </c>
      <c r="AF5" s="151">
        <v>39.547870000000003</v>
      </c>
      <c r="AG5" s="151">
        <v>43.393129999999999</v>
      </c>
      <c r="AH5" s="151">
        <v>49.119</v>
      </c>
      <c r="AI5" s="151">
        <v>52.616039999999998</v>
      </c>
      <c r="AJ5" s="151">
        <v>57.53049</v>
      </c>
      <c r="AK5" s="151">
        <v>62.721190000000007</v>
      </c>
      <c r="AL5" s="151">
        <v>66.969639999999998</v>
      </c>
      <c r="AM5" s="151">
        <v>69.256019999999992</v>
      </c>
      <c r="AN5" s="151">
        <v>63.341950000000004</v>
      </c>
      <c r="AO5" s="151">
        <v>59.919629999999998</v>
      </c>
      <c r="AP5" s="151">
        <v>43.807960000000001</v>
      </c>
      <c r="AQ5" s="152">
        <v>44.488900000000001</v>
      </c>
      <c r="AR5" s="151">
        <v>49.93506</v>
      </c>
      <c r="AS5" s="151">
        <v>44.86242</v>
      </c>
      <c r="AT5" s="151">
        <v>39.168340000000001</v>
      </c>
      <c r="AU5" s="151">
        <v>38.287569999999995</v>
      </c>
      <c r="AV5" s="151">
        <v>40.88138</v>
      </c>
      <c r="AW5" s="151">
        <v>44.935629999999996</v>
      </c>
      <c r="AX5" s="151">
        <v>49.880929999999999</v>
      </c>
      <c r="AY5" s="151">
        <v>55.342690000000005</v>
      </c>
      <c r="AZ5" s="151">
        <v>58.090929999999993</v>
      </c>
      <c r="BA5" s="151">
        <v>62.572980000000001</v>
      </c>
      <c r="BB5" s="151">
        <v>66.042959999999994</v>
      </c>
      <c r="BC5" s="151">
        <v>69.061430000000001</v>
      </c>
      <c r="BD5" s="151">
        <v>68.780540000000002</v>
      </c>
      <c r="BE5" s="151">
        <v>63.077640000000002</v>
      </c>
      <c r="BF5" s="151">
        <v>55.5839</v>
      </c>
      <c r="BG5" s="151">
        <v>39.428789999999999</v>
      </c>
      <c r="BH5" s="152">
        <v>49.582969999999996</v>
      </c>
      <c r="BI5" s="151">
        <v>47.134320000000002</v>
      </c>
      <c r="BJ5" s="151">
        <v>43.117060000000002</v>
      </c>
      <c r="BK5" s="151">
        <v>36.751350000000002</v>
      </c>
      <c r="BL5" s="151">
        <v>35.961569999999995</v>
      </c>
      <c r="BM5" s="151">
        <v>38.65737</v>
      </c>
      <c r="BN5" s="151">
        <v>41.879040000000003</v>
      </c>
      <c r="BO5" s="151">
        <v>47.726860000000002</v>
      </c>
      <c r="BP5" s="151">
        <v>53.667980000000007</v>
      </c>
      <c r="BQ5" s="151">
        <v>56.87632</v>
      </c>
      <c r="BR5" s="151">
        <v>61.36741</v>
      </c>
      <c r="BS5" s="151">
        <v>66.022750000000002</v>
      </c>
      <c r="BT5" s="151">
        <v>69.419589999999999</v>
      </c>
      <c r="BU5" s="151">
        <v>68.511870000000002</v>
      </c>
      <c r="BV5" s="151">
        <v>62.626040000000003</v>
      </c>
      <c r="BW5" s="151">
        <v>55.062560000000005</v>
      </c>
      <c r="BX5" s="151">
        <v>37.04318</v>
      </c>
      <c r="BY5" s="152">
        <v>48.03687</v>
      </c>
      <c r="BZ5" s="151">
        <v>56.133679999999998</v>
      </c>
      <c r="CA5" s="151">
        <v>48.88485</v>
      </c>
      <c r="CB5" s="151">
        <v>45.449550000000002</v>
      </c>
      <c r="CC5" s="151">
        <v>44.592419999999997</v>
      </c>
      <c r="CD5" s="151">
        <v>46.696649999999998</v>
      </c>
      <c r="CE5" s="151">
        <v>52.552100000000003</v>
      </c>
      <c r="CF5" s="151">
        <v>55.368189999999998</v>
      </c>
      <c r="CG5" s="151">
        <v>59.901470000000003</v>
      </c>
      <c r="CH5" s="151">
        <v>61.676839999999999</v>
      </c>
      <c r="CI5" s="151">
        <v>66.192880000000002</v>
      </c>
      <c r="CJ5" s="151">
        <v>66.116280000000003</v>
      </c>
      <c r="CK5" s="151">
        <v>67.661829999999995</v>
      </c>
      <c r="CL5" s="151">
        <v>69.792360000000002</v>
      </c>
      <c r="CM5" s="151">
        <v>64.592259999999996</v>
      </c>
      <c r="CN5" s="151">
        <v>57.509140000000002</v>
      </c>
      <c r="CO5" s="151">
        <v>48.213250000000002</v>
      </c>
      <c r="CP5" s="152">
        <v>53.880969999999998</v>
      </c>
      <c r="CQ5" s="53">
        <v>51.142857100000008</v>
      </c>
      <c r="CR5" s="53">
        <v>44.913151400000004</v>
      </c>
      <c r="CS5" s="53">
        <v>42.203299600000001</v>
      </c>
      <c r="CT5" s="53">
        <v>41.272430700000001</v>
      </c>
      <c r="CU5" s="53">
        <v>42.644533500000001</v>
      </c>
      <c r="CV5" s="53">
        <v>49.567723299999997</v>
      </c>
      <c r="CW5" s="53">
        <v>51.597869500000002</v>
      </c>
      <c r="CX5" s="53">
        <v>55.231689100000004</v>
      </c>
      <c r="CY5" s="53">
        <v>58.912386699999999</v>
      </c>
      <c r="CZ5" s="53">
        <v>64.459930299999996</v>
      </c>
      <c r="DA5" s="53">
        <v>63.275862100000005</v>
      </c>
      <c r="DB5" s="53">
        <v>63.571428600000004</v>
      </c>
      <c r="DC5" s="53">
        <v>68.75</v>
      </c>
      <c r="DD5" s="53">
        <v>59.6638655</v>
      </c>
      <c r="DE5" s="53">
        <v>54.918032800000006</v>
      </c>
      <c r="DF5" s="53">
        <v>53.465346500000003</v>
      </c>
      <c r="DG5" s="53">
        <v>50.472353400000003</v>
      </c>
      <c r="DH5" s="53">
        <v>64.039408900000012</v>
      </c>
      <c r="DI5" s="53">
        <v>54.581673299999999</v>
      </c>
      <c r="DJ5" s="53">
        <v>50.170648500000006</v>
      </c>
      <c r="DK5" s="53">
        <v>49.490662100000002</v>
      </c>
      <c r="DL5" s="53">
        <v>53.532338300000006</v>
      </c>
      <c r="DM5" s="53">
        <v>58.126410799999995</v>
      </c>
      <c r="DN5" s="53">
        <v>61.957868599999998</v>
      </c>
      <c r="DO5" s="53">
        <v>67.682119200000002</v>
      </c>
      <c r="DP5" s="53">
        <v>65.9375</v>
      </c>
      <c r="DQ5" s="53">
        <v>68.918918900000008</v>
      </c>
      <c r="DR5" s="53">
        <v>70.540540500000006</v>
      </c>
      <c r="DS5" s="53">
        <v>73.977695199999999</v>
      </c>
      <c r="DT5" s="53">
        <v>70.869565199999997</v>
      </c>
      <c r="DU5" s="53">
        <v>73.846153799999996</v>
      </c>
      <c r="DV5" s="53">
        <v>61.538461499999997</v>
      </c>
      <c r="DW5" s="53">
        <v>41.975308599999998</v>
      </c>
      <c r="DX5" s="53">
        <v>59.279132199999992</v>
      </c>
    </row>
    <row r="6" spans="1:128" x14ac:dyDescent="0.2">
      <c r="A6" s="52">
        <v>2</v>
      </c>
      <c r="B6" s="50" t="s">
        <v>1</v>
      </c>
      <c r="C6" s="155">
        <v>37.654969999999999</v>
      </c>
      <c r="D6" s="155">
        <v>40.360610000000001</v>
      </c>
      <c r="E6" s="155">
        <v>34.950049999999997</v>
      </c>
      <c r="F6" s="155">
        <v>38.850459999999998</v>
      </c>
      <c r="G6" s="155">
        <v>31.275029999999997</v>
      </c>
      <c r="H6" s="53">
        <v>29.293644099999998</v>
      </c>
      <c r="I6" s="53">
        <v>33.0740981</v>
      </c>
      <c r="J6" s="151">
        <v>42.632619999999996</v>
      </c>
      <c r="K6" s="151">
        <v>36.549949999999995</v>
      </c>
      <c r="L6" s="151">
        <v>30.268430000000002</v>
      </c>
      <c r="M6" s="151">
        <v>29.479339999999997</v>
      </c>
      <c r="N6" s="151">
        <v>31.554670000000002</v>
      </c>
      <c r="O6" s="151">
        <v>38.214210000000001</v>
      </c>
      <c r="P6" s="151">
        <v>43.229099999999995</v>
      </c>
      <c r="Q6" s="151">
        <v>46.650080000000003</v>
      </c>
      <c r="R6" s="151">
        <v>48.784579999999998</v>
      </c>
      <c r="S6" s="151">
        <v>50.345010000000002</v>
      </c>
      <c r="T6" s="151">
        <v>51.24474</v>
      </c>
      <c r="U6" s="151">
        <v>53.13523</v>
      </c>
      <c r="V6" s="151">
        <v>51.640280000000004</v>
      </c>
      <c r="W6" s="151">
        <v>48.390460000000004</v>
      </c>
      <c r="X6" s="151">
        <v>37.762879999999996</v>
      </c>
      <c r="Y6" s="151">
        <v>20.771899999999999</v>
      </c>
      <c r="Z6" s="152">
        <v>40.360610000000001</v>
      </c>
      <c r="AA6" s="151">
        <v>37.347029999999997</v>
      </c>
      <c r="AB6" s="151">
        <v>32.161369999999998</v>
      </c>
      <c r="AC6" s="151">
        <v>25.261600000000001</v>
      </c>
      <c r="AD6" s="151">
        <v>22.590620000000001</v>
      </c>
      <c r="AE6" s="151">
        <v>25.744540000000001</v>
      </c>
      <c r="AF6" s="151">
        <v>29.567939999999997</v>
      </c>
      <c r="AG6" s="151">
        <v>35.68994</v>
      </c>
      <c r="AH6" s="151">
        <v>39.727649999999997</v>
      </c>
      <c r="AI6" s="151">
        <v>42.531239999999997</v>
      </c>
      <c r="AJ6" s="151">
        <v>45.951799999999999</v>
      </c>
      <c r="AK6" s="151">
        <v>50.568539999999999</v>
      </c>
      <c r="AL6" s="151">
        <v>54.86694</v>
      </c>
      <c r="AM6" s="151">
        <v>57.108219999999996</v>
      </c>
      <c r="AN6" s="151">
        <v>53.07347</v>
      </c>
      <c r="AO6" s="151">
        <v>48.193999999999996</v>
      </c>
      <c r="AP6" s="151">
        <v>31.037130000000001</v>
      </c>
      <c r="AQ6" s="152">
        <v>34.950049999999997</v>
      </c>
      <c r="AR6" s="151">
        <v>40.018320000000003</v>
      </c>
      <c r="AS6" s="151">
        <v>34.305459999999997</v>
      </c>
      <c r="AT6" s="151">
        <v>27.720820000000003</v>
      </c>
      <c r="AU6" s="151">
        <v>25.947839999999999</v>
      </c>
      <c r="AV6" s="151">
        <v>28.559339999999999</v>
      </c>
      <c r="AW6" s="151">
        <v>33.864529999999995</v>
      </c>
      <c r="AX6" s="151">
        <v>39.37491</v>
      </c>
      <c r="AY6" s="151">
        <v>43.134900000000002</v>
      </c>
      <c r="AZ6" s="151">
        <v>45.638089999999998</v>
      </c>
      <c r="BA6" s="151">
        <v>48.196620000000003</v>
      </c>
      <c r="BB6" s="151">
        <v>50.919740000000004</v>
      </c>
      <c r="BC6" s="151">
        <v>53.944049999999997</v>
      </c>
      <c r="BD6" s="151">
        <v>54.089770000000001</v>
      </c>
      <c r="BE6" s="151">
        <v>50.476299999999995</v>
      </c>
      <c r="BF6" s="151">
        <v>42.315979999999996</v>
      </c>
      <c r="BG6" s="151">
        <v>24.90447</v>
      </c>
      <c r="BH6" s="152">
        <v>37.654969999999999</v>
      </c>
      <c r="BI6" s="151">
        <v>42.14246</v>
      </c>
      <c r="BJ6" s="151">
        <v>35.67071</v>
      </c>
      <c r="BK6" s="151">
        <v>29.300470000000001</v>
      </c>
      <c r="BL6" s="151">
        <v>27.217659999999999</v>
      </c>
      <c r="BM6" s="151">
        <v>29.50759</v>
      </c>
      <c r="BN6" s="151">
        <v>34.553709999999995</v>
      </c>
      <c r="BO6" s="151">
        <v>40.301500000000004</v>
      </c>
      <c r="BP6" s="151">
        <v>44.01755</v>
      </c>
      <c r="BQ6" s="151">
        <v>46.45758</v>
      </c>
      <c r="BR6" s="151">
        <v>48.788290000000003</v>
      </c>
      <c r="BS6" s="151">
        <v>51.933410000000002</v>
      </c>
      <c r="BT6" s="151">
        <v>54.988530000000004</v>
      </c>
      <c r="BU6" s="151">
        <v>54.69547</v>
      </c>
      <c r="BV6" s="151">
        <v>51.716119999999997</v>
      </c>
      <c r="BW6" s="151">
        <v>42.694710000000001</v>
      </c>
      <c r="BX6" s="151">
        <v>25.558890000000002</v>
      </c>
      <c r="BY6" s="152">
        <v>38.850459999999998</v>
      </c>
      <c r="BZ6" s="151">
        <v>29.22268</v>
      </c>
      <c r="CA6" s="151">
        <v>27.948269999999997</v>
      </c>
      <c r="CB6" s="151">
        <v>20.404859999999999</v>
      </c>
      <c r="CC6" s="151">
        <v>20.085739999999998</v>
      </c>
      <c r="CD6" s="151">
        <v>24.012729999999998</v>
      </c>
      <c r="CE6" s="151">
        <v>30.488969999999998</v>
      </c>
      <c r="CF6" s="151">
        <v>34.506680000000003</v>
      </c>
      <c r="CG6" s="151">
        <v>37.957839999999997</v>
      </c>
      <c r="CH6" s="151">
        <v>40.527790000000003</v>
      </c>
      <c r="CI6" s="151">
        <v>44.38129</v>
      </c>
      <c r="CJ6" s="151">
        <v>44.070079999999997</v>
      </c>
      <c r="CK6" s="151">
        <v>47.07311</v>
      </c>
      <c r="CL6" s="151">
        <v>50.293600000000005</v>
      </c>
      <c r="CM6" s="151">
        <v>42.31935</v>
      </c>
      <c r="CN6" s="151">
        <v>40.094119999999997</v>
      </c>
      <c r="CO6" s="151">
        <v>20.699110000000001</v>
      </c>
      <c r="CP6" s="152">
        <v>31.275029999999997</v>
      </c>
      <c r="CQ6" s="53">
        <v>24.0793201</v>
      </c>
      <c r="CR6" s="53">
        <v>22.382671500000001</v>
      </c>
      <c r="CS6" s="53">
        <v>19.3417034</v>
      </c>
      <c r="CT6" s="53">
        <v>18.299845399999999</v>
      </c>
      <c r="CU6" s="53">
        <v>23.366915799999997</v>
      </c>
      <c r="CV6" s="53">
        <v>27.516531999999998</v>
      </c>
      <c r="CW6" s="53">
        <v>32.786195299999996</v>
      </c>
      <c r="CX6" s="53">
        <v>35.807860300000002</v>
      </c>
      <c r="CY6" s="53">
        <v>40.063694300000002</v>
      </c>
      <c r="CZ6" s="53">
        <v>43.962584999999997</v>
      </c>
      <c r="DA6" s="53">
        <v>43.714609299999999</v>
      </c>
      <c r="DB6" s="53">
        <v>47.1264368</v>
      </c>
      <c r="DC6" s="53">
        <v>51.8518519</v>
      </c>
      <c r="DD6" s="53">
        <v>40.2877698</v>
      </c>
      <c r="DE6" s="53">
        <v>41.520467799999999</v>
      </c>
      <c r="DF6" s="53">
        <v>19.565217400000002</v>
      </c>
      <c r="DG6" s="53">
        <v>29.293644099999998</v>
      </c>
      <c r="DH6" s="53">
        <v>35.497835500000001</v>
      </c>
      <c r="DI6" s="53">
        <v>33.1578947</v>
      </c>
      <c r="DJ6" s="53">
        <v>21.205007800000001</v>
      </c>
      <c r="DK6" s="53">
        <v>21.986908</v>
      </c>
      <c r="DL6" s="53">
        <v>24.608076000000001</v>
      </c>
      <c r="DM6" s="53">
        <v>34.376630200000001</v>
      </c>
      <c r="DN6" s="53">
        <v>36.158192099999994</v>
      </c>
      <c r="DO6" s="53">
        <v>40.929965600000003</v>
      </c>
      <c r="DP6" s="53">
        <v>41.213389100000001</v>
      </c>
      <c r="DQ6" s="53">
        <v>44.229149100000001</v>
      </c>
      <c r="DR6" s="53">
        <v>44.758539499999998</v>
      </c>
      <c r="DS6" s="53">
        <v>46.923076899999998</v>
      </c>
      <c r="DT6" s="53">
        <v>48.822269800000001</v>
      </c>
      <c r="DU6" s="53">
        <v>45.117845099999997</v>
      </c>
      <c r="DV6" s="53">
        <v>39.795918400000005</v>
      </c>
      <c r="DW6" s="53">
        <v>23.188405800000002</v>
      </c>
      <c r="DX6" s="53">
        <v>33.0740981</v>
      </c>
    </row>
    <row r="7" spans="1:128" x14ac:dyDescent="0.2">
      <c r="A7" s="52">
        <v>3</v>
      </c>
      <c r="B7" s="50" t="s">
        <v>2</v>
      </c>
      <c r="C7" s="155">
        <v>47.833489999999998</v>
      </c>
      <c r="D7" s="155">
        <v>51.284669999999998</v>
      </c>
      <c r="E7" s="155">
        <v>44.482239999999997</v>
      </c>
      <c r="F7" s="155">
        <v>49.088610000000003</v>
      </c>
      <c r="G7" s="155">
        <v>44.974609999999998</v>
      </c>
      <c r="H7" s="53">
        <v>41.701927599999998</v>
      </c>
      <c r="I7" s="53">
        <v>51.218719499999999</v>
      </c>
      <c r="J7" s="151">
        <v>49.765419999999999</v>
      </c>
      <c r="K7" s="151">
        <v>42.045279999999998</v>
      </c>
      <c r="L7" s="151">
        <v>37.966670000000001</v>
      </c>
      <c r="M7" s="151">
        <v>39.772120000000001</v>
      </c>
      <c r="N7" s="151">
        <v>43.661969999999997</v>
      </c>
      <c r="O7" s="151">
        <v>49.978929999999998</v>
      </c>
      <c r="P7" s="151">
        <v>54.119410000000002</v>
      </c>
      <c r="Q7" s="151">
        <v>57.864859999999993</v>
      </c>
      <c r="R7" s="151">
        <v>62.123910000000002</v>
      </c>
      <c r="S7" s="151">
        <v>64.495260000000002</v>
      </c>
      <c r="T7" s="151">
        <v>64.566420000000008</v>
      </c>
      <c r="U7" s="151">
        <v>67.71951</v>
      </c>
      <c r="V7" s="151">
        <v>62.077069999999999</v>
      </c>
      <c r="W7" s="151">
        <v>55.631850000000007</v>
      </c>
      <c r="X7" s="151">
        <v>49.724510000000002</v>
      </c>
      <c r="Y7" s="151">
        <v>29.869720000000001</v>
      </c>
      <c r="Z7" s="152">
        <v>51.284669999999998</v>
      </c>
      <c r="AA7" s="151">
        <v>39.920349999999999</v>
      </c>
      <c r="AB7" s="151">
        <v>37.451050000000002</v>
      </c>
      <c r="AC7" s="151">
        <v>31.767289999999999</v>
      </c>
      <c r="AD7" s="151">
        <v>30.62473</v>
      </c>
      <c r="AE7" s="151">
        <v>34.240500000000004</v>
      </c>
      <c r="AF7" s="151">
        <v>40.428370000000001</v>
      </c>
      <c r="AG7" s="151">
        <v>46.005479999999999</v>
      </c>
      <c r="AH7" s="151">
        <v>49.658709999999999</v>
      </c>
      <c r="AI7" s="151">
        <v>54.60866</v>
      </c>
      <c r="AJ7" s="151">
        <v>61.837699999999998</v>
      </c>
      <c r="AK7" s="151">
        <v>63.700199999999995</v>
      </c>
      <c r="AL7" s="151">
        <v>68.341909999999999</v>
      </c>
      <c r="AM7" s="151">
        <v>64.413679999999999</v>
      </c>
      <c r="AN7" s="151">
        <v>63.640450000000001</v>
      </c>
      <c r="AO7" s="151">
        <v>52.77552</v>
      </c>
      <c r="AP7" s="151">
        <v>36.311590000000002</v>
      </c>
      <c r="AQ7" s="152">
        <v>44.482239999999997</v>
      </c>
      <c r="AR7" s="151">
        <v>44.753830000000001</v>
      </c>
      <c r="AS7" s="151">
        <v>39.739899999999999</v>
      </c>
      <c r="AT7" s="151">
        <v>34.805289999999999</v>
      </c>
      <c r="AU7" s="151">
        <v>35.0379</v>
      </c>
      <c r="AV7" s="151">
        <v>38.799240000000005</v>
      </c>
      <c r="AW7" s="151">
        <v>45.019749999999995</v>
      </c>
      <c r="AX7" s="151">
        <v>49.913940000000004</v>
      </c>
      <c r="AY7" s="151">
        <v>53.620060000000002</v>
      </c>
      <c r="AZ7" s="151">
        <v>58.280189999999997</v>
      </c>
      <c r="BA7" s="151">
        <v>63.210449999999994</v>
      </c>
      <c r="BB7" s="151">
        <v>64.137469999999993</v>
      </c>
      <c r="BC7" s="151">
        <v>68.020150000000001</v>
      </c>
      <c r="BD7" s="151">
        <v>63.178820000000002</v>
      </c>
      <c r="BE7" s="151">
        <v>59.30791</v>
      </c>
      <c r="BF7" s="151">
        <v>51.007899999999992</v>
      </c>
      <c r="BG7" s="151">
        <v>32.558059999999998</v>
      </c>
      <c r="BH7" s="152">
        <v>47.833489999999998</v>
      </c>
      <c r="BI7" s="151">
        <v>46.638849999999998</v>
      </c>
      <c r="BJ7" s="151">
        <v>41.524030000000003</v>
      </c>
      <c r="BK7" s="151">
        <v>36.153419999999997</v>
      </c>
      <c r="BL7" s="151">
        <v>35.062660000000001</v>
      </c>
      <c r="BM7" s="151">
        <v>39.400410000000001</v>
      </c>
      <c r="BN7" s="151">
        <v>45.448460000000004</v>
      </c>
      <c r="BO7" s="151">
        <v>50.483730000000001</v>
      </c>
      <c r="BP7" s="151">
        <v>54.957799999999999</v>
      </c>
      <c r="BQ7" s="151">
        <v>59.296910000000004</v>
      </c>
      <c r="BR7" s="151">
        <v>65.017380000000003</v>
      </c>
      <c r="BS7" s="151">
        <v>66.080919999999992</v>
      </c>
      <c r="BT7" s="151">
        <v>71.844899999999996</v>
      </c>
      <c r="BU7" s="151">
        <v>65.126360000000005</v>
      </c>
      <c r="BV7" s="151">
        <v>62.45646</v>
      </c>
      <c r="BW7" s="151">
        <v>53.826830000000001</v>
      </c>
      <c r="BX7" s="151">
        <v>36.263129999999997</v>
      </c>
      <c r="BY7" s="152">
        <v>49.088610000000003</v>
      </c>
      <c r="BZ7" s="151">
        <v>40.943710000000003</v>
      </c>
      <c r="CA7" s="151">
        <v>36.190390000000001</v>
      </c>
      <c r="CB7" s="151">
        <v>31.758219999999998</v>
      </c>
      <c r="CC7" s="151">
        <v>34.980730000000001</v>
      </c>
      <c r="CD7" s="151">
        <v>37.479050000000001</v>
      </c>
      <c r="CE7" s="151">
        <v>44.092389999999995</v>
      </c>
      <c r="CF7" s="151">
        <v>48.705770000000001</v>
      </c>
      <c r="CG7" s="151">
        <v>50.738640000000004</v>
      </c>
      <c r="CH7" s="151">
        <v>55.899030000000003</v>
      </c>
      <c r="CI7" s="151">
        <v>58.584519999999998</v>
      </c>
      <c r="CJ7" s="151">
        <v>59.164570000000005</v>
      </c>
      <c r="CK7" s="151">
        <v>58.402370000000005</v>
      </c>
      <c r="CL7" s="151">
        <v>58.29177</v>
      </c>
      <c r="CM7" s="151">
        <v>50.425080000000001</v>
      </c>
      <c r="CN7" s="151">
        <v>44.017469999999996</v>
      </c>
      <c r="CO7" s="151">
        <v>21.345870000000001</v>
      </c>
      <c r="CP7" s="152">
        <v>44.974609999999998</v>
      </c>
      <c r="CQ7" s="53">
        <v>38.6206897</v>
      </c>
      <c r="CR7" s="53">
        <v>32.863849799999997</v>
      </c>
      <c r="CS7" s="53">
        <v>27.490039799999998</v>
      </c>
      <c r="CT7" s="53">
        <v>31.186440700000002</v>
      </c>
      <c r="CU7" s="53">
        <v>33.913431500000002</v>
      </c>
      <c r="CV7" s="53">
        <v>41.443975600000002</v>
      </c>
      <c r="CW7" s="53">
        <v>45.852187000000001</v>
      </c>
      <c r="CX7" s="53">
        <v>48.499117099999999</v>
      </c>
      <c r="CY7" s="53">
        <v>53.338570300000001</v>
      </c>
      <c r="CZ7" s="53">
        <v>56.723963600000005</v>
      </c>
      <c r="DA7" s="53">
        <v>58.064516099999999</v>
      </c>
      <c r="DB7" s="53">
        <v>56.297709900000001</v>
      </c>
      <c r="DC7" s="53">
        <v>54.487179500000003</v>
      </c>
      <c r="DD7" s="53">
        <v>49.162011200000002</v>
      </c>
      <c r="DE7" s="53">
        <v>43.877550999999997</v>
      </c>
      <c r="DF7" s="53">
        <v>23.3766234</v>
      </c>
      <c r="DG7" s="53">
        <v>41.701927599999998</v>
      </c>
      <c r="DH7" s="53">
        <v>49.382716000000002</v>
      </c>
      <c r="DI7" s="53">
        <v>44</v>
      </c>
      <c r="DJ7" s="53">
        <v>42.105263199999996</v>
      </c>
      <c r="DK7" s="53">
        <v>42.2068966</v>
      </c>
      <c r="DL7" s="53">
        <v>46.590909099999998</v>
      </c>
      <c r="DM7" s="53">
        <v>49.512987000000003</v>
      </c>
      <c r="DN7" s="53">
        <v>55.608974400000001</v>
      </c>
      <c r="DO7" s="53">
        <v>54.0625</v>
      </c>
      <c r="DP7" s="53">
        <v>59.223300999999992</v>
      </c>
      <c r="DQ7" s="53">
        <v>62.019230800000003</v>
      </c>
      <c r="DR7" s="53">
        <v>60.458452699999995</v>
      </c>
      <c r="DS7" s="53">
        <v>59.915611800000001</v>
      </c>
      <c r="DT7" s="53">
        <v>63.033175399999998</v>
      </c>
      <c r="DU7" s="53">
        <v>50.349650300000008</v>
      </c>
      <c r="DV7" s="53">
        <v>44.444444400000002</v>
      </c>
      <c r="DW7" s="53">
        <v>17.8082192</v>
      </c>
      <c r="DX7" s="53">
        <v>51.218719499999999</v>
      </c>
    </row>
    <row r="8" spans="1:128" x14ac:dyDescent="0.2">
      <c r="A8" s="52">
        <v>4</v>
      </c>
      <c r="B8" s="50" t="s">
        <v>3</v>
      </c>
      <c r="C8" s="155">
        <v>62.318779999999997</v>
      </c>
      <c r="D8" s="155">
        <v>66.12145000000001</v>
      </c>
      <c r="E8" s="155">
        <v>58.416080000000001</v>
      </c>
      <c r="F8" s="155">
        <v>59.406510000000004</v>
      </c>
      <c r="G8" s="155">
        <v>66.865260000000006</v>
      </c>
      <c r="H8" s="53">
        <v>65.5267008</v>
      </c>
      <c r="I8" s="53">
        <v>67.996949700000002</v>
      </c>
      <c r="J8" s="151">
        <v>70.650310000000005</v>
      </c>
      <c r="K8" s="151">
        <v>63.110920000000007</v>
      </c>
      <c r="L8" s="151">
        <v>57.619710000000005</v>
      </c>
      <c r="M8" s="151">
        <v>57.365480000000005</v>
      </c>
      <c r="N8" s="151">
        <v>63.059540000000005</v>
      </c>
      <c r="O8" s="151">
        <v>65.806690000000003</v>
      </c>
      <c r="P8" s="151">
        <v>70.360699999999994</v>
      </c>
      <c r="Q8" s="151">
        <v>73.014740000000003</v>
      </c>
      <c r="R8" s="151">
        <v>72.407480000000007</v>
      </c>
      <c r="S8" s="151">
        <v>72.808250000000001</v>
      </c>
      <c r="T8" s="151">
        <v>74.962789999999998</v>
      </c>
      <c r="U8" s="151">
        <v>75.272310000000004</v>
      </c>
      <c r="V8" s="151">
        <v>69.389240000000001</v>
      </c>
      <c r="W8" s="151">
        <v>63.453119999999998</v>
      </c>
      <c r="X8" s="151">
        <v>58.16666</v>
      </c>
      <c r="Y8" s="151">
        <v>37.816760000000002</v>
      </c>
      <c r="Z8" s="152">
        <v>66.12145000000001</v>
      </c>
      <c r="AA8" s="151">
        <v>63.326660000000004</v>
      </c>
      <c r="AB8" s="151">
        <v>59.761920000000003</v>
      </c>
      <c r="AC8" s="151">
        <v>48.860639999999997</v>
      </c>
      <c r="AD8" s="151">
        <v>48.136089999999996</v>
      </c>
      <c r="AE8" s="151">
        <v>49.616030000000002</v>
      </c>
      <c r="AF8" s="151">
        <v>52.859959999999994</v>
      </c>
      <c r="AG8" s="151">
        <v>57.610950000000003</v>
      </c>
      <c r="AH8" s="151">
        <v>63.815339999999999</v>
      </c>
      <c r="AI8" s="151">
        <v>67.471789999999999</v>
      </c>
      <c r="AJ8" s="151">
        <v>69.358450000000005</v>
      </c>
      <c r="AK8" s="151">
        <v>73.810730000000007</v>
      </c>
      <c r="AL8" s="151">
        <v>75.431970000000007</v>
      </c>
      <c r="AM8" s="151">
        <v>76.217190000000002</v>
      </c>
      <c r="AN8" s="151">
        <v>68.781859999999995</v>
      </c>
      <c r="AO8" s="151">
        <v>58.657240000000002</v>
      </c>
      <c r="AP8" s="151">
        <v>50.936990000000002</v>
      </c>
      <c r="AQ8" s="152">
        <v>58.416080000000001</v>
      </c>
      <c r="AR8" s="151">
        <v>66.951480000000004</v>
      </c>
      <c r="AS8" s="151">
        <v>61.435609999999997</v>
      </c>
      <c r="AT8" s="151">
        <v>53.169489999999996</v>
      </c>
      <c r="AU8" s="151">
        <v>52.763040000000004</v>
      </c>
      <c r="AV8" s="151">
        <v>56.452869999999997</v>
      </c>
      <c r="AW8" s="151">
        <v>59.488019999999999</v>
      </c>
      <c r="AX8" s="151">
        <v>64.094720000000009</v>
      </c>
      <c r="AY8" s="151">
        <v>68.567040000000006</v>
      </c>
      <c r="AZ8" s="151">
        <v>69.967970000000008</v>
      </c>
      <c r="BA8" s="151">
        <v>71.147819999999996</v>
      </c>
      <c r="BB8" s="151">
        <v>74.394329999999997</v>
      </c>
      <c r="BC8" s="151">
        <v>75.349779999999996</v>
      </c>
      <c r="BD8" s="151">
        <v>72.851140000000001</v>
      </c>
      <c r="BE8" s="151">
        <v>66.202110000000005</v>
      </c>
      <c r="BF8" s="151">
        <v>58.400410000000001</v>
      </c>
      <c r="BG8" s="151">
        <v>44.049469999999999</v>
      </c>
      <c r="BH8" s="152">
        <v>62.318779999999997</v>
      </c>
      <c r="BI8" s="151">
        <v>62.35651</v>
      </c>
      <c r="BJ8" s="151">
        <v>56.832509999999999</v>
      </c>
      <c r="BK8" s="151">
        <v>48.426549999999999</v>
      </c>
      <c r="BL8" s="151">
        <v>49.530790000000003</v>
      </c>
      <c r="BM8" s="151">
        <v>53.038680000000006</v>
      </c>
      <c r="BN8" s="151">
        <v>55.918730000000004</v>
      </c>
      <c r="BO8" s="151">
        <v>59.613550000000004</v>
      </c>
      <c r="BP8" s="151">
        <v>66.318950000000001</v>
      </c>
      <c r="BQ8" s="151">
        <v>67.340469999999996</v>
      </c>
      <c r="BR8" s="151">
        <v>69.017520000000005</v>
      </c>
      <c r="BS8" s="151">
        <v>72.372659999999996</v>
      </c>
      <c r="BT8" s="151">
        <v>74.052629999999994</v>
      </c>
      <c r="BU8" s="151">
        <v>72.318709999999996</v>
      </c>
      <c r="BV8" s="151">
        <v>63.646429999999995</v>
      </c>
      <c r="BW8" s="151">
        <v>57.48527</v>
      </c>
      <c r="BX8" s="151">
        <v>42.131839999999997</v>
      </c>
      <c r="BY8" s="152">
        <v>59.406510000000004</v>
      </c>
      <c r="BZ8" s="151">
        <v>75.126339999999999</v>
      </c>
      <c r="CA8" s="151">
        <v>68.054060000000007</v>
      </c>
      <c r="CB8" s="151">
        <v>59.904959999999996</v>
      </c>
      <c r="CC8" s="151">
        <v>57.229079999999996</v>
      </c>
      <c r="CD8" s="151">
        <v>61.763959999999997</v>
      </c>
      <c r="CE8" s="151">
        <v>65.435389999999998</v>
      </c>
      <c r="CF8" s="151">
        <v>71.333729999999989</v>
      </c>
      <c r="CG8" s="151">
        <v>72.166070000000005</v>
      </c>
      <c r="CH8" s="151">
        <v>74.273650000000004</v>
      </c>
      <c r="CI8" s="151">
        <v>74.753610000000009</v>
      </c>
      <c r="CJ8" s="151">
        <v>78.238630000000001</v>
      </c>
      <c r="CK8" s="151">
        <v>77.525570000000002</v>
      </c>
      <c r="CL8" s="151">
        <v>73.699709999999996</v>
      </c>
      <c r="CM8" s="151">
        <v>69.637420000000006</v>
      </c>
      <c r="CN8" s="151">
        <v>59.667580000000001</v>
      </c>
      <c r="CO8" s="151">
        <v>46.13973</v>
      </c>
      <c r="CP8" s="152">
        <v>66.865260000000006</v>
      </c>
      <c r="CQ8" s="53">
        <v>74.829931999999999</v>
      </c>
      <c r="CR8" s="53">
        <v>65.966386600000007</v>
      </c>
      <c r="CS8" s="53">
        <v>58.064516099999999</v>
      </c>
      <c r="CT8" s="53">
        <v>53.058216700000003</v>
      </c>
      <c r="CU8" s="53">
        <v>59.267912799999998</v>
      </c>
      <c r="CV8" s="53">
        <v>63.665338599999998</v>
      </c>
      <c r="CW8" s="53">
        <v>67.527675299999999</v>
      </c>
      <c r="CX8" s="53">
        <v>71.758794000000009</v>
      </c>
      <c r="CY8" s="53">
        <v>72.481572499999999</v>
      </c>
      <c r="CZ8" s="53">
        <v>75.722543399999992</v>
      </c>
      <c r="DA8" s="53">
        <v>77.609108199999994</v>
      </c>
      <c r="DB8" s="53">
        <v>78.6469345</v>
      </c>
      <c r="DC8" s="53">
        <v>75.3943218</v>
      </c>
      <c r="DD8" s="53">
        <v>70.454545499999995</v>
      </c>
      <c r="DE8" s="53">
        <v>61.963190199999993</v>
      </c>
      <c r="DF8" s="53">
        <v>50.310558999999998</v>
      </c>
      <c r="DG8" s="53">
        <v>65.5267008</v>
      </c>
      <c r="DH8" s="53">
        <v>75</v>
      </c>
      <c r="DI8" s="53">
        <v>69.776119399999999</v>
      </c>
      <c r="DJ8" s="53">
        <v>61.104140500000007</v>
      </c>
      <c r="DK8" s="53">
        <v>60.501750299999998</v>
      </c>
      <c r="DL8" s="53">
        <v>64.017659999999992</v>
      </c>
      <c r="DM8" s="53">
        <v>67.215958399999991</v>
      </c>
      <c r="DN8" s="53">
        <v>75.164628399999998</v>
      </c>
      <c r="DO8" s="53">
        <v>72.479838700000002</v>
      </c>
      <c r="DP8" s="53">
        <v>75.850340099999997</v>
      </c>
      <c r="DQ8" s="53">
        <v>73.781291199999998</v>
      </c>
      <c r="DR8" s="53">
        <v>78.793774299999995</v>
      </c>
      <c r="DS8" s="53">
        <v>76.244343900000004</v>
      </c>
      <c r="DT8" s="53">
        <v>72.011661799999999</v>
      </c>
      <c r="DU8" s="53">
        <v>68.695652199999998</v>
      </c>
      <c r="DV8" s="53">
        <v>56.953642400000007</v>
      </c>
      <c r="DW8" s="53">
        <v>41.558441600000002</v>
      </c>
      <c r="DX8" s="53">
        <v>67.996949700000002</v>
      </c>
    </row>
    <row r="9" spans="1:128" x14ac:dyDescent="0.2">
      <c r="A9" s="52">
        <v>5</v>
      </c>
      <c r="B9" s="50" t="s">
        <v>4</v>
      </c>
      <c r="C9" s="155">
        <v>57.020590000000006</v>
      </c>
      <c r="D9" s="155">
        <v>61.908900000000003</v>
      </c>
      <c r="E9" s="155">
        <v>51.982010000000002</v>
      </c>
      <c r="F9" s="155">
        <v>55.768260000000005</v>
      </c>
      <c r="G9" s="155">
        <v>62.675719999999998</v>
      </c>
      <c r="H9" s="53">
        <v>58.287779500000006</v>
      </c>
      <c r="I9" s="53">
        <v>70.685885499999998</v>
      </c>
      <c r="J9" s="151">
        <v>59.51558</v>
      </c>
      <c r="K9" s="151">
        <v>53.713140000000003</v>
      </c>
      <c r="L9" s="151">
        <v>49.188670000000002</v>
      </c>
      <c r="M9" s="151">
        <v>49.139229999999998</v>
      </c>
      <c r="N9" s="151">
        <v>53.88946</v>
      </c>
      <c r="O9" s="151">
        <v>59.895420000000001</v>
      </c>
      <c r="P9" s="151">
        <v>65.208179999999999</v>
      </c>
      <c r="Q9" s="151">
        <v>68.739609999999999</v>
      </c>
      <c r="R9" s="151">
        <v>71.759510000000006</v>
      </c>
      <c r="S9" s="151">
        <v>73.845919999999992</v>
      </c>
      <c r="T9" s="151">
        <v>75.067099999999996</v>
      </c>
      <c r="U9" s="151">
        <v>76.975979999999993</v>
      </c>
      <c r="V9" s="151">
        <v>72.483010000000007</v>
      </c>
      <c r="W9" s="151">
        <v>67.840090000000004</v>
      </c>
      <c r="X9" s="151">
        <v>57.714269999999999</v>
      </c>
      <c r="Y9" s="151">
        <v>39.052910000000004</v>
      </c>
      <c r="Z9" s="152">
        <v>61.908900000000003</v>
      </c>
      <c r="AA9" s="151">
        <v>54.225169999999999</v>
      </c>
      <c r="AB9" s="151">
        <v>48.012389999999996</v>
      </c>
      <c r="AC9" s="151">
        <v>40.251440000000002</v>
      </c>
      <c r="AD9" s="151">
        <v>38.018070000000002</v>
      </c>
      <c r="AE9" s="151">
        <v>41.079900000000002</v>
      </c>
      <c r="AF9" s="151">
        <v>46.324849999999998</v>
      </c>
      <c r="AG9" s="151">
        <v>51.541979999999995</v>
      </c>
      <c r="AH9" s="151">
        <v>57.00817</v>
      </c>
      <c r="AI9" s="151">
        <v>61.639239999999994</v>
      </c>
      <c r="AJ9" s="151">
        <v>64.90588000000001</v>
      </c>
      <c r="AK9" s="151">
        <v>68.785870000000003</v>
      </c>
      <c r="AL9" s="151">
        <v>73.558340000000001</v>
      </c>
      <c r="AM9" s="151">
        <v>74.329930000000004</v>
      </c>
      <c r="AN9" s="151">
        <v>70.866680000000002</v>
      </c>
      <c r="AO9" s="151">
        <v>63.934910000000002</v>
      </c>
      <c r="AP9" s="151">
        <v>47.055010000000003</v>
      </c>
      <c r="AQ9" s="152">
        <v>51.982010000000002</v>
      </c>
      <c r="AR9" s="151">
        <v>56.72034</v>
      </c>
      <c r="AS9" s="151">
        <v>50.781669999999998</v>
      </c>
      <c r="AT9" s="151">
        <v>44.643219999999999</v>
      </c>
      <c r="AU9" s="151">
        <v>43.530499999999996</v>
      </c>
      <c r="AV9" s="151">
        <v>47.458850000000005</v>
      </c>
      <c r="AW9" s="151">
        <v>53.115480000000005</v>
      </c>
      <c r="AX9" s="151">
        <v>58.353259999999999</v>
      </c>
      <c r="AY9" s="151">
        <v>63.042099999999998</v>
      </c>
      <c r="AZ9" s="151">
        <v>66.816240000000008</v>
      </c>
      <c r="BA9" s="151">
        <v>69.542180000000002</v>
      </c>
      <c r="BB9" s="151">
        <v>72.123909999999995</v>
      </c>
      <c r="BC9" s="151">
        <v>75.356319999999997</v>
      </c>
      <c r="BD9" s="151">
        <v>73.345429999999993</v>
      </c>
      <c r="BE9" s="151">
        <v>69.221879999999999</v>
      </c>
      <c r="BF9" s="151">
        <v>60.381720000000008</v>
      </c>
      <c r="BG9" s="151">
        <v>42.282160000000005</v>
      </c>
      <c r="BH9" s="152">
        <v>57.020590000000006</v>
      </c>
      <c r="BI9" s="151">
        <v>54.68927</v>
      </c>
      <c r="BJ9" s="151">
        <v>49.263739999999999</v>
      </c>
      <c r="BK9" s="151">
        <v>43.095529999999997</v>
      </c>
      <c r="BL9" s="151">
        <v>41.738230000000001</v>
      </c>
      <c r="BM9" s="151">
        <v>45.730840000000001</v>
      </c>
      <c r="BN9" s="151">
        <v>51.539239999999999</v>
      </c>
      <c r="BO9" s="151">
        <v>56.876939999999998</v>
      </c>
      <c r="BP9" s="151">
        <v>61.651959999999995</v>
      </c>
      <c r="BQ9" s="151">
        <v>65.939790000000002</v>
      </c>
      <c r="BR9" s="151">
        <v>68.520099999999999</v>
      </c>
      <c r="BS9" s="151">
        <v>71.602419999999995</v>
      </c>
      <c r="BT9" s="151">
        <v>74.97157</v>
      </c>
      <c r="BU9" s="151">
        <v>72.689090000000007</v>
      </c>
      <c r="BV9" s="151">
        <v>68.790729999999996</v>
      </c>
      <c r="BW9" s="151">
        <v>59.573309999999999</v>
      </c>
      <c r="BX9" s="151">
        <v>40.877920000000003</v>
      </c>
      <c r="BY9" s="152">
        <v>55.768260000000005</v>
      </c>
      <c r="BZ9" s="151">
        <v>65.715739999999997</v>
      </c>
      <c r="CA9" s="151">
        <v>57.203590000000005</v>
      </c>
      <c r="CB9" s="151">
        <v>51.526110000000003</v>
      </c>
      <c r="CC9" s="151">
        <v>51.668599999999998</v>
      </c>
      <c r="CD9" s="151">
        <v>55.233920000000005</v>
      </c>
      <c r="CE9" s="151">
        <v>59.87171</v>
      </c>
      <c r="CF9" s="151">
        <v>64.554490000000001</v>
      </c>
      <c r="CG9" s="151">
        <v>68.83663</v>
      </c>
      <c r="CH9" s="151">
        <v>70.988949999999988</v>
      </c>
      <c r="CI9" s="151">
        <v>74.602630000000005</v>
      </c>
      <c r="CJ9" s="151">
        <v>74.803650000000005</v>
      </c>
      <c r="CK9" s="151">
        <v>77.356920000000002</v>
      </c>
      <c r="CL9" s="151">
        <v>76.533860000000004</v>
      </c>
      <c r="CM9" s="151">
        <v>71.266159999999999</v>
      </c>
      <c r="CN9" s="151">
        <v>63.817809999999994</v>
      </c>
      <c r="CO9" s="151">
        <v>47.786180000000002</v>
      </c>
      <c r="CP9" s="152">
        <v>62.675719999999998</v>
      </c>
      <c r="CQ9" s="53">
        <v>60.053619300000008</v>
      </c>
      <c r="CR9" s="53">
        <v>52.067669199999997</v>
      </c>
      <c r="CS9" s="53">
        <v>47.157071799999997</v>
      </c>
      <c r="CT9" s="53">
        <v>46.995548999999997</v>
      </c>
      <c r="CU9" s="53">
        <v>50.865191099999997</v>
      </c>
      <c r="CV9" s="53">
        <v>55.489614200000005</v>
      </c>
      <c r="CW9" s="53">
        <v>60</v>
      </c>
      <c r="CX9" s="53">
        <v>65.254599900000002</v>
      </c>
      <c r="CY9" s="53">
        <v>67.4525589</v>
      </c>
      <c r="CZ9" s="53">
        <v>70.878721900000002</v>
      </c>
      <c r="DA9" s="53">
        <v>71.792452799999992</v>
      </c>
      <c r="DB9" s="53">
        <v>74.250681200000002</v>
      </c>
      <c r="DC9" s="53">
        <v>73.713235300000008</v>
      </c>
      <c r="DD9" s="53">
        <v>68.079095999999993</v>
      </c>
      <c r="DE9" s="53">
        <v>63.849765300000008</v>
      </c>
      <c r="DF9" s="53">
        <v>41.489361699999996</v>
      </c>
      <c r="DG9" s="53">
        <v>58.287779500000006</v>
      </c>
      <c r="DH9" s="53">
        <v>76.381909500000006</v>
      </c>
      <c r="DI9" s="53">
        <v>67.938931300000007</v>
      </c>
      <c r="DJ9" s="53">
        <v>60.418118499999999</v>
      </c>
      <c r="DK9" s="53">
        <v>60.963335700000002</v>
      </c>
      <c r="DL9" s="53">
        <v>64.947552399999992</v>
      </c>
      <c r="DM9" s="53">
        <v>68.607594899999995</v>
      </c>
      <c r="DN9" s="53">
        <v>73.141486799999996</v>
      </c>
      <c r="DO9" s="53">
        <v>75.718849800000001</v>
      </c>
      <c r="DP9" s="53">
        <v>77.425944799999996</v>
      </c>
      <c r="DQ9" s="53">
        <v>81.101376700000003</v>
      </c>
      <c r="DR9" s="53">
        <v>79.351032399999994</v>
      </c>
      <c r="DS9" s="53">
        <v>81.714285700000005</v>
      </c>
      <c r="DT9" s="53">
        <v>79.7131148</v>
      </c>
      <c r="DU9" s="53">
        <v>74.772036499999999</v>
      </c>
      <c r="DV9" s="53">
        <v>63.786008199999998</v>
      </c>
      <c r="DW9" s="53">
        <v>53.968254000000002</v>
      </c>
      <c r="DX9" s="53">
        <v>70.685885499999998</v>
      </c>
    </row>
    <row r="10" spans="1:128" x14ac:dyDescent="0.2">
      <c r="A10" s="52">
        <v>6</v>
      </c>
      <c r="B10" s="50" t="s">
        <v>5</v>
      </c>
      <c r="C10" s="155">
        <v>51.501439999999995</v>
      </c>
      <c r="D10" s="155">
        <v>54.9925</v>
      </c>
      <c r="E10" s="155">
        <v>47.914169999999999</v>
      </c>
      <c r="F10" s="155">
        <v>51.066630000000004</v>
      </c>
      <c r="G10" s="155">
        <v>52.211220000000004</v>
      </c>
      <c r="H10" s="53">
        <v>49.2938872</v>
      </c>
      <c r="I10" s="53">
        <v>62.661391099999996</v>
      </c>
      <c r="J10" s="151">
        <v>59.438020000000002</v>
      </c>
      <c r="K10" s="151">
        <v>51.977989999999998</v>
      </c>
      <c r="L10" s="151">
        <v>44.929989999999997</v>
      </c>
      <c r="M10" s="151">
        <v>42.563760000000002</v>
      </c>
      <c r="N10" s="151">
        <v>48.683330000000005</v>
      </c>
      <c r="O10" s="151">
        <v>52.982359999999993</v>
      </c>
      <c r="P10" s="151">
        <v>57.183369999999996</v>
      </c>
      <c r="Q10" s="151">
        <v>60.524699999999996</v>
      </c>
      <c r="R10" s="151">
        <v>63.729329999999997</v>
      </c>
      <c r="S10" s="151">
        <v>66.707930000000005</v>
      </c>
      <c r="T10" s="151">
        <v>65.177909999999997</v>
      </c>
      <c r="U10" s="151">
        <v>65.607500000000002</v>
      </c>
      <c r="V10" s="151">
        <v>64.09751</v>
      </c>
      <c r="W10" s="151">
        <v>52.614809999999999</v>
      </c>
      <c r="X10" s="151">
        <v>56.570489999999992</v>
      </c>
      <c r="Y10" s="151">
        <v>34.12462</v>
      </c>
      <c r="Z10" s="152">
        <v>54.9925</v>
      </c>
      <c r="AA10" s="151">
        <v>51.140640000000005</v>
      </c>
      <c r="AB10" s="151">
        <v>40.052030000000002</v>
      </c>
      <c r="AC10" s="151">
        <v>36.463630000000002</v>
      </c>
      <c r="AD10" s="151">
        <v>35.320479999999996</v>
      </c>
      <c r="AE10" s="151">
        <v>40.881459999999997</v>
      </c>
      <c r="AF10" s="151">
        <v>43.206910000000001</v>
      </c>
      <c r="AG10" s="151">
        <v>47.512100000000004</v>
      </c>
      <c r="AH10" s="151">
        <v>51.745850000000004</v>
      </c>
      <c r="AI10" s="151">
        <v>54.402950000000004</v>
      </c>
      <c r="AJ10" s="151">
        <v>58.673260000000006</v>
      </c>
      <c r="AK10" s="151">
        <v>62.071379999999998</v>
      </c>
      <c r="AL10" s="151">
        <v>64.613259999999997</v>
      </c>
      <c r="AM10" s="151">
        <v>66.004549999999995</v>
      </c>
      <c r="AN10" s="151">
        <v>62.060040000000008</v>
      </c>
      <c r="AO10" s="151">
        <v>57.422269999999997</v>
      </c>
      <c r="AP10" s="151">
        <v>44.162709999999997</v>
      </c>
      <c r="AQ10" s="152">
        <v>47.914169999999999</v>
      </c>
      <c r="AR10" s="151">
        <v>55.115329999999993</v>
      </c>
      <c r="AS10" s="151">
        <v>46.055750000000003</v>
      </c>
      <c r="AT10" s="151">
        <v>40.627720000000004</v>
      </c>
      <c r="AU10" s="151">
        <v>38.941090000000003</v>
      </c>
      <c r="AV10" s="151">
        <v>44.801540000000003</v>
      </c>
      <c r="AW10" s="151">
        <v>48.176119999999997</v>
      </c>
      <c r="AX10" s="151">
        <v>52.309340000000006</v>
      </c>
      <c r="AY10" s="151">
        <v>56.165289999999999</v>
      </c>
      <c r="AZ10" s="151">
        <v>59.298259999999999</v>
      </c>
      <c r="BA10" s="151">
        <v>62.855360000000005</v>
      </c>
      <c r="BB10" s="151">
        <v>63.639429999999997</v>
      </c>
      <c r="BC10" s="151">
        <v>65.129009999999994</v>
      </c>
      <c r="BD10" s="151">
        <v>65.050250000000005</v>
      </c>
      <c r="BE10" s="151">
        <v>57.029879999999999</v>
      </c>
      <c r="BF10" s="151">
        <v>56.970880000000001</v>
      </c>
      <c r="BG10" s="151">
        <v>38.191879999999998</v>
      </c>
      <c r="BH10" s="152">
        <v>51.501439999999995</v>
      </c>
      <c r="BI10" s="151">
        <v>56.487339999999996</v>
      </c>
      <c r="BJ10" s="151">
        <v>46.638930000000002</v>
      </c>
      <c r="BK10" s="151">
        <v>39.394040000000004</v>
      </c>
      <c r="BL10" s="151">
        <v>38.304110000000001</v>
      </c>
      <c r="BM10" s="151">
        <v>43.70326</v>
      </c>
      <c r="BN10" s="151">
        <v>47.771320000000003</v>
      </c>
      <c r="BO10" s="151">
        <v>50.395820000000001</v>
      </c>
      <c r="BP10" s="151">
        <v>54.654460000000007</v>
      </c>
      <c r="BQ10" s="151">
        <v>58.43591</v>
      </c>
      <c r="BR10" s="151">
        <v>63.875639999999997</v>
      </c>
      <c r="BS10" s="151">
        <v>64.883300000000006</v>
      </c>
      <c r="BT10" s="151">
        <v>66.857520000000008</v>
      </c>
      <c r="BU10" s="151">
        <v>66.496560000000002</v>
      </c>
      <c r="BV10" s="151">
        <v>56.350380000000001</v>
      </c>
      <c r="BW10" s="151">
        <v>56.923959999999994</v>
      </c>
      <c r="BX10" s="151">
        <v>33.895330000000001</v>
      </c>
      <c r="BY10" s="152">
        <v>51.066630000000004</v>
      </c>
      <c r="BZ10" s="151">
        <v>52.647460000000002</v>
      </c>
      <c r="CA10" s="151">
        <v>45.120049999999999</v>
      </c>
      <c r="CB10" s="151">
        <v>42.559139999999999</v>
      </c>
      <c r="CC10" s="151">
        <v>39.993519999999997</v>
      </c>
      <c r="CD10" s="151">
        <v>46.605029999999999</v>
      </c>
      <c r="CE10" s="151">
        <v>48.836269999999999</v>
      </c>
      <c r="CF10" s="151">
        <v>55.264539999999997</v>
      </c>
      <c r="CG10" s="151">
        <v>58.480080000000001</v>
      </c>
      <c r="CH10" s="151">
        <v>60.703649999999996</v>
      </c>
      <c r="CI10" s="151">
        <v>61.028249999999993</v>
      </c>
      <c r="CJ10" s="151">
        <v>61.433689999999999</v>
      </c>
      <c r="CK10" s="151">
        <v>62.149209999999997</v>
      </c>
      <c r="CL10" s="151">
        <v>62.540329999999997</v>
      </c>
      <c r="CM10" s="151">
        <v>58.047850000000004</v>
      </c>
      <c r="CN10" s="151">
        <v>57.046050000000001</v>
      </c>
      <c r="CO10" s="151">
        <v>44.81015</v>
      </c>
      <c r="CP10" s="152">
        <v>52.211220000000004</v>
      </c>
      <c r="CQ10" s="53">
        <v>51.086956499999999</v>
      </c>
      <c r="CR10" s="53">
        <v>40.721649499999998</v>
      </c>
      <c r="CS10" s="53">
        <v>39.0693591</v>
      </c>
      <c r="CT10" s="53">
        <v>36.574487100000006</v>
      </c>
      <c r="CU10" s="53">
        <v>43.011764700000001</v>
      </c>
      <c r="CV10" s="53">
        <v>46.522781800000004</v>
      </c>
      <c r="CW10" s="53">
        <v>52.759493700000007</v>
      </c>
      <c r="CX10" s="53">
        <v>55.6975506</v>
      </c>
      <c r="CY10" s="53">
        <v>58.451612900000008</v>
      </c>
      <c r="CZ10" s="53">
        <v>59.938837899999996</v>
      </c>
      <c r="DA10" s="53">
        <v>60.308810199999996</v>
      </c>
      <c r="DB10" s="53">
        <v>59.300873899999992</v>
      </c>
      <c r="DC10" s="53">
        <v>58.576642300000003</v>
      </c>
      <c r="DD10" s="53">
        <v>54.126213599999993</v>
      </c>
      <c r="DE10" s="53">
        <v>54.468085099999996</v>
      </c>
      <c r="DF10" s="53">
        <v>41</v>
      </c>
      <c r="DG10" s="53">
        <v>49.2938872</v>
      </c>
      <c r="DH10" s="53">
        <v>61.224489800000001</v>
      </c>
      <c r="DI10" s="53">
        <v>65</v>
      </c>
      <c r="DJ10" s="53">
        <v>56.496062999999999</v>
      </c>
      <c r="DK10" s="53">
        <v>52.293577999999997</v>
      </c>
      <c r="DL10" s="53">
        <v>60.500963399999996</v>
      </c>
      <c r="DM10" s="53">
        <v>58.444444399999995</v>
      </c>
      <c r="DN10" s="53">
        <v>65.942029000000005</v>
      </c>
      <c r="DO10" s="53">
        <v>67.864693399999993</v>
      </c>
      <c r="DP10" s="53">
        <v>68.11594199999999</v>
      </c>
      <c r="DQ10" s="53">
        <v>64.545454500000005</v>
      </c>
      <c r="DR10" s="53">
        <v>64.855072500000006</v>
      </c>
      <c r="DS10" s="53">
        <v>71.681415900000005</v>
      </c>
      <c r="DT10" s="53">
        <v>73.711340199999995</v>
      </c>
      <c r="DU10" s="53">
        <v>69.230769199999997</v>
      </c>
      <c r="DV10" s="53">
        <v>63.265306099999997</v>
      </c>
      <c r="DW10" s="53">
        <v>53.012048199999995</v>
      </c>
      <c r="DX10" s="53">
        <v>62.661391099999996</v>
      </c>
    </row>
    <row r="11" spans="1:128" x14ac:dyDescent="0.2">
      <c r="A11" s="52">
        <v>7</v>
      </c>
      <c r="B11" s="50" t="s">
        <v>6</v>
      </c>
      <c r="C11" s="155">
        <v>61.195509999999999</v>
      </c>
      <c r="D11" s="155">
        <v>64.955950000000001</v>
      </c>
      <c r="E11" s="155">
        <v>57.105029999999999</v>
      </c>
      <c r="F11" s="155">
        <v>51.106510000000007</v>
      </c>
      <c r="G11" s="155">
        <v>68.033560000000008</v>
      </c>
      <c r="H11" s="53">
        <v>63.157318600000004</v>
      </c>
      <c r="I11" s="53">
        <v>69.847801700000005</v>
      </c>
      <c r="J11" s="151">
        <v>68.790549999999996</v>
      </c>
      <c r="K11" s="151">
        <v>65.075220000000002</v>
      </c>
      <c r="L11" s="151">
        <v>58.93817</v>
      </c>
      <c r="M11" s="151">
        <v>59.563609999999997</v>
      </c>
      <c r="N11" s="151">
        <v>64.057779999999994</v>
      </c>
      <c r="O11" s="151">
        <v>65.826669999999993</v>
      </c>
      <c r="P11" s="151">
        <v>68.237440000000007</v>
      </c>
      <c r="Q11" s="151">
        <v>69.308809999999994</v>
      </c>
      <c r="R11" s="151">
        <v>71.061890000000005</v>
      </c>
      <c r="S11" s="151">
        <v>70.914749999999998</v>
      </c>
      <c r="T11" s="151">
        <v>71.629739999999998</v>
      </c>
      <c r="U11" s="151">
        <v>71.290610000000001</v>
      </c>
      <c r="V11" s="151">
        <v>67.652969999999996</v>
      </c>
      <c r="W11" s="151">
        <v>60.593209999999999</v>
      </c>
      <c r="X11" s="151">
        <v>50.326129999999999</v>
      </c>
      <c r="Y11" s="151">
        <v>34.757349999999995</v>
      </c>
      <c r="Z11" s="152">
        <v>64.955950000000001</v>
      </c>
      <c r="AA11" s="151">
        <v>59.676569999999998</v>
      </c>
      <c r="AB11" s="151">
        <v>53.483230000000006</v>
      </c>
      <c r="AC11" s="151">
        <v>46.646059999999999</v>
      </c>
      <c r="AD11" s="151">
        <v>45.827329999999996</v>
      </c>
      <c r="AE11" s="151">
        <v>51.171540000000007</v>
      </c>
      <c r="AF11" s="151">
        <v>56.183309999999999</v>
      </c>
      <c r="AG11" s="151">
        <v>59.256129999999999</v>
      </c>
      <c r="AH11" s="151">
        <v>63.70017</v>
      </c>
      <c r="AI11" s="151">
        <v>65.904449999999997</v>
      </c>
      <c r="AJ11" s="151">
        <v>68.302620000000005</v>
      </c>
      <c r="AK11" s="151">
        <v>71.389400000000009</v>
      </c>
      <c r="AL11" s="151">
        <v>74.161370000000005</v>
      </c>
      <c r="AM11" s="151">
        <v>74.192660000000004</v>
      </c>
      <c r="AN11" s="151">
        <v>69.062950000000001</v>
      </c>
      <c r="AO11" s="151">
        <v>63.559570000000001</v>
      </c>
      <c r="AP11" s="151">
        <v>43.127759999999995</v>
      </c>
      <c r="AQ11" s="152">
        <v>57.105029999999999</v>
      </c>
      <c r="AR11" s="151">
        <v>64.204890000000006</v>
      </c>
      <c r="AS11" s="151">
        <v>59.375639999999997</v>
      </c>
      <c r="AT11" s="151">
        <v>52.876219999999996</v>
      </c>
      <c r="AU11" s="151">
        <v>52.926519999999996</v>
      </c>
      <c r="AV11" s="151">
        <v>57.92362</v>
      </c>
      <c r="AW11" s="151">
        <v>61.294959999999996</v>
      </c>
      <c r="AX11" s="151">
        <v>64.002530000000007</v>
      </c>
      <c r="AY11" s="151">
        <v>66.673689999999993</v>
      </c>
      <c r="AZ11" s="151">
        <v>68.638249999999999</v>
      </c>
      <c r="BA11" s="151">
        <v>69.689639999999997</v>
      </c>
      <c r="BB11" s="151">
        <v>71.515039999999999</v>
      </c>
      <c r="BC11" s="151">
        <v>72.718450000000004</v>
      </c>
      <c r="BD11" s="151">
        <v>70.885170000000002</v>
      </c>
      <c r="BE11" s="151">
        <v>64.712220000000002</v>
      </c>
      <c r="BF11" s="151">
        <v>56.593879999999999</v>
      </c>
      <c r="BG11" s="151">
        <v>38.602649999999997</v>
      </c>
      <c r="BH11" s="152">
        <v>61.195509999999999</v>
      </c>
      <c r="BI11" s="151">
        <v>55.989319999999999</v>
      </c>
      <c r="BJ11" s="151">
        <v>51.616609999999994</v>
      </c>
      <c r="BK11" s="151">
        <v>41.91113</v>
      </c>
      <c r="BL11" s="151">
        <v>40.053359999999998</v>
      </c>
      <c r="BM11" s="151">
        <v>45.505580000000002</v>
      </c>
      <c r="BN11" s="151">
        <v>49.429899999999996</v>
      </c>
      <c r="BO11" s="151">
        <v>52.835469999999994</v>
      </c>
      <c r="BP11" s="151">
        <v>55.89246</v>
      </c>
      <c r="BQ11" s="151">
        <v>58.785339999999998</v>
      </c>
      <c r="BR11" s="151">
        <v>60.422600000000003</v>
      </c>
      <c r="BS11" s="151">
        <v>64.087899999999991</v>
      </c>
      <c r="BT11" s="151">
        <v>67.496750000000006</v>
      </c>
      <c r="BU11" s="151">
        <v>65.042529999999999</v>
      </c>
      <c r="BV11" s="151">
        <v>59.056560000000005</v>
      </c>
      <c r="BW11" s="151">
        <v>48.802109999999999</v>
      </c>
      <c r="BX11" s="151">
        <v>32.069510000000001</v>
      </c>
      <c r="BY11" s="152">
        <v>51.106510000000007</v>
      </c>
      <c r="BZ11" s="151">
        <v>70.405349999999999</v>
      </c>
      <c r="CA11" s="151">
        <v>64.6447</v>
      </c>
      <c r="CB11" s="151">
        <v>59.277409999999996</v>
      </c>
      <c r="CC11" s="151">
        <v>60.807370000000006</v>
      </c>
      <c r="CD11" s="151">
        <v>65.926370000000006</v>
      </c>
      <c r="CE11" s="151">
        <v>69.533320000000003</v>
      </c>
      <c r="CF11" s="151">
        <v>71.986649999999997</v>
      </c>
      <c r="CG11" s="151">
        <v>74.596670000000003</v>
      </c>
      <c r="CH11" s="151">
        <v>76.235200000000006</v>
      </c>
      <c r="CI11" s="151">
        <v>77.020949999999999</v>
      </c>
      <c r="CJ11" s="151">
        <v>77.146069999999995</v>
      </c>
      <c r="CK11" s="151">
        <v>76.580590000000001</v>
      </c>
      <c r="CL11" s="151">
        <v>75.046610000000001</v>
      </c>
      <c r="CM11" s="151">
        <v>68.38009000000001</v>
      </c>
      <c r="CN11" s="151">
        <v>61.225660000000005</v>
      </c>
      <c r="CO11" s="151">
        <v>42.372510000000005</v>
      </c>
      <c r="CP11" s="152">
        <v>68.033560000000008</v>
      </c>
      <c r="CQ11" s="53">
        <v>66.491458600000001</v>
      </c>
      <c r="CR11" s="53">
        <v>62.644188100000001</v>
      </c>
      <c r="CS11" s="53">
        <v>54.106116900000004</v>
      </c>
      <c r="CT11" s="53">
        <v>54.868289400000002</v>
      </c>
      <c r="CU11" s="53">
        <v>58.915304599999999</v>
      </c>
      <c r="CV11" s="53">
        <v>62.909753099999996</v>
      </c>
      <c r="CW11" s="53">
        <v>65.342645099999999</v>
      </c>
      <c r="CX11" s="53">
        <v>67.94570610000001</v>
      </c>
      <c r="CY11" s="53">
        <v>70.219244799999998</v>
      </c>
      <c r="CZ11" s="53">
        <v>70.871644000000003</v>
      </c>
      <c r="DA11" s="53">
        <v>74.570295299999998</v>
      </c>
      <c r="DB11" s="53">
        <v>75.262183800000003</v>
      </c>
      <c r="DC11" s="53">
        <v>74.401321199999998</v>
      </c>
      <c r="DD11" s="53">
        <v>67.857142899999999</v>
      </c>
      <c r="DE11" s="53">
        <v>61.392405100000005</v>
      </c>
      <c r="DF11" s="53">
        <v>43.1578947</v>
      </c>
      <c r="DG11" s="53">
        <v>63.157318600000004</v>
      </c>
      <c r="DH11" s="53">
        <v>71.761657999999997</v>
      </c>
      <c r="DI11" s="53">
        <v>65.585980300000003</v>
      </c>
      <c r="DJ11" s="53">
        <v>61.166069599999993</v>
      </c>
      <c r="DK11" s="53">
        <v>63.079470199999996</v>
      </c>
      <c r="DL11" s="53">
        <v>68.480292599999999</v>
      </c>
      <c r="DM11" s="53">
        <v>72.0344537</v>
      </c>
      <c r="DN11" s="53">
        <v>74.523489900000001</v>
      </c>
      <c r="DO11" s="53">
        <v>77.117346900000001</v>
      </c>
      <c r="DP11" s="53">
        <v>78.620744399999992</v>
      </c>
      <c r="DQ11" s="53">
        <v>79.144952700000005</v>
      </c>
      <c r="DR11" s="53">
        <v>78.129513700000004</v>
      </c>
      <c r="DS11" s="53">
        <v>77.197258199999993</v>
      </c>
      <c r="DT11" s="53">
        <v>74.973170199999998</v>
      </c>
      <c r="DU11" s="53">
        <v>68.419661700000006</v>
      </c>
      <c r="DV11" s="53">
        <v>60.806916399999999</v>
      </c>
      <c r="DW11" s="53">
        <v>42.199108500000001</v>
      </c>
      <c r="DX11" s="53">
        <v>69.847801700000005</v>
      </c>
    </row>
    <row r="12" spans="1:128" x14ac:dyDescent="0.2">
      <c r="A12" s="52">
        <v>8</v>
      </c>
      <c r="B12" s="50" t="s">
        <v>7</v>
      </c>
      <c r="C12" s="155">
        <v>45.795400000000001</v>
      </c>
      <c r="D12" s="155">
        <v>48.118899999999996</v>
      </c>
      <c r="E12" s="155">
        <v>43.410029999999999</v>
      </c>
      <c r="F12" s="155">
        <v>44.510040000000004</v>
      </c>
      <c r="G12" s="155">
        <v>51.859719999999996</v>
      </c>
      <c r="H12" s="53">
        <v>53.06371</v>
      </c>
      <c r="I12" s="53">
        <v>51.820814599999999</v>
      </c>
      <c r="J12" s="151">
        <v>50.595300000000002</v>
      </c>
      <c r="K12" s="151">
        <v>44.023589999999999</v>
      </c>
      <c r="L12" s="151">
        <v>39.11927</v>
      </c>
      <c r="M12" s="151">
        <v>38.135919999999999</v>
      </c>
      <c r="N12" s="151">
        <v>40.865400000000001</v>
      </c>
      <c r="O12" s="151">
        <v>45.351700000000001</v>
      </c>
      <c r="P12" s="151">
        <v>50.462019999999995</v>
      </c>
      <c r="Q12" s="151">
        <v>53.124789999999997</v>
      </c>
      <c r="R12" s="151">
        <v>56.665509999999998</v>
      </c>
      <c r="S12" s="151">
        <v>58.005410000000005</v>
      </c>
      <c r="T12" s="151">
        <v>58.967489999999998</v>
      </c>
      <c r="U12" s="151">
        <v>60.384269999999994</v>
      </c>
      <c r="V12" s="151">
        <v>57.191870000000002</v>
      </c>
      <c r="W12" s="151">
        <v>50.540470000000006</v>
      </c>
      <c r="X12" s="151">
        <v>38.149799999999999</v>
      </c>
      <c r="Y12" s="151">
        <v>21.880389999999998</v>
      </c>
      <c r="Z12" s="152">
        <v>48.118899999999996</v>
      </c>
      <c r="AA12" s="151">
        <v>44.863910000000004</v>
      </c>
      <c r="AB12" s="151">
        <v>38.967610000000001</v>
      </c>
      <c r="AC12" s="151">
        <v>33.231780000000001</v>
      </c>
      <c r="AD12" s="151">
        <v>31.107770000000002</v>
      </c>
      <c r="AE12" s="151">
        <v>33.808109999999999</v>
      </c>
      <c r="AF12" s="151">
        <v>37.645820000000001</v>
      </c>
      <c r="AG12" s="151">
        <v>42.985959999999999</v>
      </c>
      <c r="AH12" s="151">
        <v>47.617190000000001</v>
      </c>
      <c r="AI12" s="151">
        <v>52.577130000000004</v>
      </c>
      <c r="AJ12" s="151">
        <v>54.668609999999994</v>
      </c>
      <c r="AK12" s="151">
        <v>58.227689999999996</v>
      </c>
      <c r="AL12" s="151">
        <v>62.583190000000002</v>
      </c>
      <c r="AM12" s="151">
        <v>63.64255</v>
      </c>
      <c r="AN12" s="151">
        <v>59.52046</v>
      </c>
      <c r="AO12" s="151">
        <v>50.708539999999999</v>
      </c>
      <c r="AP12" s="151">
        <v>32.242870000000003</v>
      </c>
      <c r="AQ12" s="152">
        <v>43.410029999999999</v>
      </c>
      <c r="AR12" s="151">
        <v>47.788699999999999</v>
      </c>
      <c r="AS12" s="151">
        <v>41.488439999999997</v>
      </c>
      <c r="AT12" s="151">
        <v>36.111330000000002</v>
      </c>
      <c r="AU12" s="151">
        <v>34.570169999999997</v>
      </c>
      <c r="AV12" s="151">
        <v>37.312179999999998</v>
      </c>
      <c r="AW12" s="151">
        <v>41.507690000000004</v>
      </c>
      <c r="AX12" s="151">
        <v>46.694560000000003</v>
      </c>
      <c r="AY12" s="151">
        <v>50.371630000000003</v>
      </c>
      <c r="AZ12" s="151">
        <v>54.660280000000007</v>
      </c>
      <c r="BA12" s="151">
        <v>56.403990000000007</v>
      </c>
      <c r="BB12" s="151">
        <v>58.619390000000003</v>
      </c>
      <c r="BC12" s="151">
        <v>61.399930000000005</v>
      </c>
      <c r="BD12" s="151">
        <v>60.164099999999998</v>
      </c>
      <c r="BE12" s="151">
        <v>54.718219999999995</v>
      </c>
      <c r="BF12" s="151">
        <v>43.799369999999996</v>
      </c>
      <c r="BG12" s="151">
        <v>26.153349999999996</v>
      </c>
      <c r="BH12" s="152">
        <v>45.795400000000001</v>
      </c>
      <c r="BI12" s="151">
        <v>46.475810000000003</v>
      </c>
      <c r="BJ12" s="151">
        <v>40.244020000000006</v>
      </c>
      <c r="BK12" s="151">
        <v>34.611710000000002</v>
      </c>
      <c r="BL12" s="151">
        <v>32.987339999999996</v>
      </c>
      <c r="BM12" s="151">
        <v>35.451929999999997</v>
      </c>
      <c r="BN12" s="151">
        <v>39.573680000000003</v>
      </c>
      <c r="BO12" s="151">
        <v>45.104549999999996</v>
      </c>
      <c r="BP12" s="151">
        <v>48.935030000000005</v>
      </c>
      <c r="BQ12" s="151">
        <v>53.809680000000007</v>
      </c>
      <c r="BR12" s="151">
        <v>55.782679999999999</v>
      </c>
      <c r="BS12" s="151">
        <v>58.242020000000004</v>
      </c>
      <c r="BT12" s="151">
        <v>61.00949</v>
      </c>
      <c r="BU12" s="151">
        <v>59.799970000000002</v>
      </c>
      <c r="BV12" s="151">
        <v>54.648989999999998</v>
      </c>
      <c r="BW12" s="151">
        <v>43.663760000000003</v>
      </c>
      <c r="BX12" s="151">
        <v>26.204739999999997</v>
      </c>
      <c r="BY12" s="152">
        <v>44.510040000000004</v>
      </c>
      <c r="BZ12" s="151">
        <v>57.008610000000004</v>
      </c>
      <c r="CA12" s="151">
        <v>48.481940000000002</v>
      </c>
      <c r="CB12" s="151">
        <v>43.573590000000003</v>
      </c>
      <c r="CC12" s="151">
        <v>42.13409</v>
      </c>
      <c r="CD12" s="151">
        <v>46.316690000000001</v>
      </c>
      <c r="CE12" s="151">
        <v>50.887009999999997</v>
      </c>
      <c r="CF12" s="151">
        <v>54.561160000000001</v>
      </c>
      <c r="CG12" s="151">
        <v>57.703580000000002</v>
      </c>
      <c r="CH12" s="151">
        <v>58.992560000000005</v>
      </c>
      <c r="CI12" s="151">
        <v>59.447029999999998</v>
      </c>
      <c r="CJ12" s="151">
        <v>60.32347</v>
      </c>
      <c r="CK12" s="151">
        <v>63.045530000000007</v>
      </c>
      <c r="CL12" s="151">
        <v>61.497729999999997</v>
      </c>
      <c r="CM12" s="151">
        <v>54.935169999999999</v>
      </c>
      <c r="CN12" s="151">
        <v>44.177749999999996</v>
      </c>
      <c r="CO12" s="151">
        <v>26.023220000000002</v>
      </c>
      <c r="CP12" s="152">
        <v>51.859719999999996</v>
      </c>
      <c r="CQ12" s="53">
        <v>60.641399399999997</v>
      </c>
      <c r="CR12" s="53">
        <v>48.697394799999998</v>
      </c>
      <c r="CS12" s="53">
        <v>44.940915799999999</v>
      </c>
      <c r="CT12" s="53">
        <v>43.567567600000004</v>
      </c>
      <c r="CU12" s="53">
        <v>47.429009999999998</v>
      </c>
      <c r="CV12" s="53">
        <v>52.430555599999998</v>
      </c>
      <c r="CW12" s="53">
        <v>54.473438999999999</v>
      </c>
      <c r="CX12" s="53">
        <v>56.637168100000004</v>
      </c>
      <c r="CY12" s="53">
        <v>59.885535900000001</v>
      </c>
      <c r="CZ12" s="53">
        <v>60.7632677</v>
      </c>
      <c r="DA12" s="53">
        <v>61.212121200000006</v>
      </c>
      <c r="DB12" s="53">
        <v>63.430725700000004</v>
      </c>
      <c r="DC12" s="53">
        <v>66.910866900000002</v>
      </c>
      <c r="DD12" s="53">
        <v>57.7272727</v>
      </c>
      <c r="DE12" s="53">
        <v>52.9147982</v>
      </c>
      <c r="DF12" s="53">
        <v>29.894179900000001</v>
      </c>
      <c r="DG12" s="53">
        <v>53.06371</v>
      </c>
      <c r="DH12" s="53">
        <v>53.767123299999994</v>
      </c>
      <c r="DI12" s="53">
        <v>48.971193400000004</v>
      </c>
      <c r="DJ12" s="53">
        <v>43.578887900000005</v>
      </c>
      <c r="DK12" s="53">
        <v>42.114649700000001</v>
      </c>
      <c r="DL12" s="53">
        <v>46.474647499999996</v>
      </c>
      <c r="DM12" s="53">
        <v>50.678294599999994</v>
      </c>
      <c r="DN12" s="53">
        <v>55.861828300000006</v>
      </c>
      <c r="DO12" s="53">
        <v>59.700973599999998</v>
      </c>
      <c r="DP12" s="53">
        <v>59.663536800000003</v>
      </c>
      <c r="DQ12" s="53">
        <v>59.541984699999993</v>
      </c>
      <c r="DR12" s="53">
        <v>59.960159400000002</v>
      </c>
      <c r="DS12" s="53">
        <v>63.560411299999998</v>
      </c>
      <c r="DT12" s="53">
        <v>58.497723800000003</v>
      </c>
      <c r="DU12" s="53">
        <v>53.1809145</v>
      </c>
      <c r="DV12" s="53">
        <v>39.213025800000004</v>
      </c>
      <c r="DW12" s="53">
        <v>24.1706161</v>
      </c>
      <c r="DX12" s="53">
        <v>51.820814599999999</v>
      </c>
    </row>
    <row r="13" spans="1:128" x14ac:dyDescent="0.2">
      <c r="A13" s="52">
        <v>9</v>
      </c>
      <c r="B13" s="50" t="s">
        <v>8</v>
      </c>
      <c r="C13" s="155">
        <v>51.778060000000004</v>
      </c>
      <c r="D13" s="155">
        <v>54.659420000000004</v>
      </c>
      <c r="E13" s="155">
        <v>48.528929999999995</v>
      </c>
      <c r="F13" s="155">
        <v>51.991120000000002</v>
      </c>
      <c r="G13" s="155">
        <v>43.078719999999997</v>
      </c>
      <c r="H13" s="53">
        <v>42.7858977</v>
      </c>
      <c r="I13" s="53">
        <v>0</v>
      </c>
      <c r="J13" s="151">
        <v>60.48451</v>
      </c>
      <c r="K13" s="151">
        <v>52.52028</v>
      </c>
      <c r="L13" s="151">
        <v>43.596220000000002</v>
      </c>
      <c r="M13" s="151">
        <v>39.806789999999999</v>
      </c>
      <c r="N13" s="151">
        <v>42.169980000000002</v>
      </c>
      <c r="O13" s="151">
        <v>48.300449999999998</v>
      </c>
      <c r="P13" s="151">
        <v>54.022489999999998</v>
      </c>
      <c r="Q13" s="151">
        <v>58.944989999999997</v>
      </c>
      <c r="R13" s="151">
        <v>62.794539999999998</v>
      </c>
      <c r="S13" s="151">
        <v>65.678060000000002</v>
      </c>
      <c r="T13" s="151">
        <v>68.506619999999998</v>
      </c>
      <c r="U13" s="151">
        <v>71.21687</v>
      </c>
      <c r="V13" s="151">
        <v>69.571380000000005</v>
      </c>
      <c r="W13" s="151">
        <v>64.526700000000005</v>
      </c>
      <c r="X13" s="151">
        <v>55.765500000000003</v>
      </c>
      <c r="Y13" s="151">
        <v>36.785589999999999</v>
      </c>
      <c r="Z13" s="152">
        <v>54.659420000000004</v>
      </c>
      <c r="AA13" s="151">
        <v>54.258940000000003</v>
      </c>
      <c r="AB13" s="151">
        <v>46.726900000000001</v>
      </c>
      <c r="AC13" s="151">
        <v>38.196439999999996</v>
      </c>
      <c r="AD13" s="151">
        <v>33.485439999999997</v>
      </c>
      <c r="AE13" s="151">
        <v>35.413519999999998</v>
      </c>
      <c r="AF13" s="151">
        <v>39.629869999999997</v>
      </c>
      <c r="AG13" s="151">
        <v>45.702190000000002</v>
      </c>
      <c r="AH13" s="151">
        <v>51.390529999999998</v>
      </c>
      <c r="AI13" s="151">
        <v>56.715360000000004</v>
      </c>
      <c r="AJ13" s="151">
        <v>61.10633</v>
      </c>
      <c r="AK13" s="151">
        <v>65.743039999999993</v>
      </c>
      <c r="AL13" s="151">
        <v>70.712050000000005</v>
      </c>
      <c r="AM13" s="151">
        <v>71.392020000000002</v>
      </c>
      <c r="AN13" s="151">
        <v>68.037210000000002</v>
      </c>
      <c r="AO13" s="151">
        <v>61.760919999999999</v>
      </c>
      <c r="AP13" s="151">
        <v>42.785170000000001</v>
      </c>
      <c r="AQ13" s="152">
        <v>48.528929999999995</v>
      </c>
      <c r="AR13" s="151">
        <v>57.315300000000001</v>
      </c>
      <c r="AS13" s="151">
        <v>49.614979999999996</v>
      </c>
      <c r="AT13" s="151">
        <v>40.887599999999999</v>
      </c>
      <c r="AU13" s="151">
        <v>36.635359999999999</v>
      </c>
      <c r="AV13" s="151">
        <v>38.842590000000001</v>
      </c>
      <c r="AW13" s="151">
        <v>44.080480000000001</v>
      </c>
      <c r="AX13" s="151">
        <v>50.058590000000002</v>
      </c>
      <c r="AY13" s="151">
        <v>55.412030000000001</v>
      </c>
      <c r="AZ13" s="151">
        <v>59.979190000000003</v>
      </c>
      <c r="BA13" s="151">
        <v>63.616890000000005</v>
      </c>
      <c r="BB13" s="151">
        <v>67.275670000000005</v>
      </c>
      <c r="BC13" s="151">
        <v>70.99418</v>
      </c>
      <c r="BD13" s="151">
        <v>70.347179999999994</v>
      </c>
      <c r="BE13" s="151">
        <v>65.965779999999995</v>
      </c>
      <c r="BF13" s="151">
        <v>58.106679999999997</v>
      </c>
      <c r="BG13" s="151">
        <v>38.849939999999997</v>
      </c>
      <c r="BH13" s="152">
        <v>51.778060000000004</v>
      </c>
      <c r="BI13" s="151">
        <v>57.645990000000005</v>
      </c>
      <c r="BJ13" s="151">
        <v>49.857839999999996</v>
      </c>
      <c r="BK13" s="151">
        <v>41.11994</v>
      </c>
      <c r="BL13" s="151">
        <v>36.806889999999996</v>
      </c>
      <c r="BM13" s="151">
        <v>38.980350000000001</v>
      </c>
      <c r="BN13" s="151">
        <v>44.231140000000003</v>
      </c>
      <c r="BO13" s="151">
        <v>50.206310000000002</v>
      </c>
      <c r="BP13" s="151">
        <v>55.613869999999999</v>
      </c>
      <c r="BQ13" s="151">
        <v>60.166560000000004</v>
      </c>
      <c r="BR13" s="151">
        <v>63.798449999999995</v>
      </c>
      <c r="BS13" s="151">
        <v>67.436580000000006</v>
      </c>
      <c r="BT13" s="151">
        <v>71.107640000000004</v>
      </c>
      <c r="BU13" s="151">
        <v>70.504599999999996</v>
      </c>
      <c r="BV13" s="151">
        <v>66.080619999999996</v>
      </c>
      <c r="BW13" s="151">
        <v>58.242989999999992</v>
      </c>
      <c r="BX13" s="151">
        <v>38.915430000000001</v>
      </c>
      <c r="BY13" s="152">
        <v>51.991120000000002</v>
      </c>
      <c r="BZ13" s="151">
        <v>46.690449999999998</v>
      </c>
      <c r="CA13" s="151">
        <v>42.158770000000004</v>
      </c>
      <c r="CB13" s="151">
        <v>33.404669999999996</v>
      </c>
      <c r="CC13" s="151">
        <v>30.935439999999996</v>
      </c>
      <c r="CD13" s="151">
        <v>33.814720000000001</v>
      </c>
      <c r="CE13" s="151">
        <v>38.298290000000001</v>
      </c>
      <c r="CF13" s="151">
        <v>44.315370000000001</v>
      </c>
      <c r="CG13" s="151">
        <v>47.172510000000003</v>
      </c>
      <c r="CH13" s="151">
        <v>52.260930000000002</v>
      </c>
      <c r="CI13" s="151">
        <v>55.21828</v>
      </c>
      <c r="CJ13" s="151">
        <v>59.093580000000003</v>
      </c>
      <c r="CK13" s="151">
        <v>64.139150000000001</v>
      </c>
      <c r="CL13" s="151">
        <v>60.925700000000006</v>
      </c>
      <c r="CM13" s="151">
        <v>57.708329999999997</v>
      </c>
      <c r="CN13" s="151">
        <v>45.555279999999996</v>
      </c>
      <c r="CO13" s="151">
        <v>32.718290000000003</v>
      </c>
      <c r="CP13" s="152">
        <v>43.078719999999997</v>
      </c>
      <c r="CQ13" s="53">
        <v>46.616541400000003</v>
      </c>
      <c r="CR13" s="53">
        <v>41.763341099999998</v>
      </c>
      <c r="CS13" s="53">
        <v>33.064516099999999</v>
      </c>
      <c r="CT13" s="53">
        <v>30.571320499999999</v>
      </c>
      <c r="CU13" s="53">
        <v>33.767872199999999</v>
      </c>
      <c r="CV13" s="53">
        <v>37.799717900000005</v>
      </c>
      <c r="CW13" s="53">
        <v>43.896236000000002</v>
      </c>
      <c r="CX13" s="53">
        <v>46.854219899999997</v>
      </c>
      <c r="CY13" s="53">
        <v>52.002321500000001</v>
      </c>
      <c r="CZ13" s="53">
        <v>54.817518200000002</v>
      </c>
      <c r="DA13" s="53">
        <v>58.812615999999998</v>
      </c>
      <c r="DB13" s="53">
        <v>64.0735502</v>
      </c>
      <c r="DC13" s="53">
        <v>61.132075500000006</v>
      </c>
      <c r="DD13" s="53">
        <v>57.3333333</v>
      </c>
      <c r="DE13" s="53">
        <v>45.394736800000004</v>
      </c>
      <c r="DF13" s="53">
        <v>32.876712300000001</v>
      </c>
      <c r="DG13" s="53">
        <v>42.7858977</v>
      </c>
      <c r="DH13" s="53">
        <v>0</v>
      </c>
      <c r="DI13" s="53">
        <v>0</v>
      </c>
      <c r="DJ13" s="53">
        <v>0</v>
      </c>
      <c r="DK13" s="53">
        <v>0</v>
      </c>
      <c r="DL13" s="53">
        <v>0</v>
      </c>
      <c r="DM13" s="53">
        <v>0</v>
      </c>
      <c r="DN13" s="53">
        <v>0</v>
      </c>
      <c r="DO13" s="53">
        <v>0</v>
      </c>
      <c r="DP13" s="53">
        <v>0</v>
      </c>
      <c r="DQ13" s="53">
        <v>0</v>
      </c>
      <c r="DR13" s="53">
        <v>0</v>
      </c>
      <c r="DS13" s="53">
        <v>0</v>
      </c>
      <c r="DT13" s="53">
        <v>0</v>
      </c>
      <c r="DU13" s="53">
        <v>0</v>
      </c>
      <c r="DV13" s="53">
        <v>0</v>
      </c>
      <c r="DW13" s="53">
        <v>0</v>
      </c>
      <c r="DX13" s="53">
        <v>0</v>
      </c>
    </row>
    <row r="14" spans="1:128" x14ac:dyDescent="0.2">
      <c r="A14" s="52">
        <v>10</v>
      </c>
      <c r="B14" s="50" t="s">
        <v>9</v>
      </c>
      <c r="C14" s="155">
        <v>42.038560000000004</v>
      </c>
      <c r="D14" s="155">
        <v>45.844879999999996</v>
      </c>
      <c r="E14" s="155">
        <v>38.08305</v>
      </c>
      <c r="F14" s="155">
        <v>40.419449999999998</v>
      </c>
      <c r="G14" s="155">
        <v>45.291340000000005</v>
      </c>
      <c r="H14" s="53">
        <v>38.581119299999997</v>
      </c>
      <c r="I14" s="53">
        <v>48.048649599999997</v>
      </c>
      <c r="J14" s="151">
        <v>48.870609999999999</v>
      </c>
      <c r="K14" s="151">
        <v>43.276209999999999</v>
      </c>
      <c r="L14" s="151">
        <v>37.508299999999998</v>
      </c>
      <c r="M14" s="151">
        <v>36.169420000000002</v>
      </c>
      <c r="N14" s="151">
        <v>39.628340000000001</v>
      </c>
      <c r="O14" s="151">
        <v>45.06617</v>
      </c>
      <c r="P14" s="151">
        <v>48.414729999999999</v>
      </c>
      <c r="Q14" s="151">
        <v>50.933599999999998</v>
      </c>
      <c r="R14" s="151">
        <v>52.916669999999996</v>
      </c>
      <c r="S14" s="151">
        <v>55.914059999999999</v>
      </c>
      <c r="T14" s="151">
        <v>57.231240000000007</v>
      </c>
      <c r="U14" s="151">
        <v>58.571320000000007</v>
      </c>
      <c r="V14" s="151">
        <v>52.959420000000001</v>
      </c>
      <c r="W14" s="151">
        <v>46.677379999999999</v>
      </c>
      <c r="X14" s="151">
        <v>35.449560000000005</v>
      </c>
      <c r="Y14" s="151">
        <v>21.830730000000003</v>
      </c>
      <c r="Z14" s="152">
        <v>45.844879999999996</v>
      </c>
      <c r="AA14" s="151">
        <v>41.071550000000002</v>
      </c>
      <c r="AB14" s="151">
        <v>37.409080000000003</v>
      </c>
      <c r="AC14" s="151">
        <v>28.046209999999999</v>
      </c>
      <c r="AD14" s="151">
        <v>25.533529999999999</v>
      </c>
      <c r="AE14" s="151">
        <v>27.80452</v>
      </c>
      <c r="AF14" s="151">
        <v>32.230260000000001</v>
      </c>
      <c r="AG14" s="151">
        <v>37.319780000000002</v>
      </c>
      <c r="AH14" s="151">
        <v>41.758810000000004</v>
      </c>
      <c r="AI14" s="151">
        <v>45.972099999999998</v>
      </c>
      <c r="AJ14" s="151">
        <v>49.909750000000003</v>
      </c>
      <c r="AK14" s="151">
        <v>54.561440000000005</v>
      </c>
      <c r="AL14" s="151">
        <v>59.655349999999999</v>
      </c>
      <c r="AM14" s="151">
        <v>59.541160000000005</v>
      </c>
      <c r="AN14" s="151">
        <v>54.59393</v>
      </c>
      <c r="AO14" s="151">
        <v>46.906730000000003</v>
      </c>
      <c r="AP14" s="151">
        <v>30.342869999999998</v>
      </c>
      <c r="AQ14" s="152">
        <v>38.08305</v>
      </c>
      <c r="AR14" s="151">
        <v>45.123890000000003</v>
      </c>
      <c r="AS14" s="151">
        <v>40.348869999999998</v>
      </c>
      <c r="AT14" s="151">
        <v>32.750859999999996</v>
      </c>
      <c r="AU14" s="151">
        <v>30.8126</v>
      </c>
      <c r="AV14" s="151">
        <v>33.727710000000002</v>
      </c>
      <c r="AW14" s="151">
        <v>38.746700000000004</v>
      </c>
      <c r="AX14" s="151">
        <v>42.963729999999998</v>
      </c>
      <c r="AY14" s="151">
        <v>46.425240000000002</v>
      </c>
      <c r="AZ14" s="151">
        <v>49.553809999999999</v>
      </c>
      <c r="BA14" s="151">
        <v>53.0717</v>
      </c>
      <c r="BB14" s="151">
        <v>55.986530000000002</v>
      </c>
      <c r="BC14" s="151">
        <v>59.097270000000002</v>
      </c>
      <c r="BD14" s="151">
        <v>56.106169999999999</v>
      </c>
      <c r="BE14" s="151">
        <v>50.571399999999997</v>
      </c>
      <c r="BF14" s="151">
        <v>40.79128</v>
      </c>
      <c r="BG14" s="151">
        <v>25.67314</v>
      </c>
      <c r="BH14" s="152">
        <v>42.038560000000004</v>
      </c>
      <c r="BI14" s="151">
        <v>44.194890000000001</v>
      </c>
      <c r="BJ14" s="151">
        <v>38.326270000000001</v>
      </c>
      <c r="BK14" s="151">
        <v>30.44829</v>
      </c>
      <c r="BL14" s="151">
        <v>28.458250000000003</v>
      </c>
      <c r="BM14" s="151">
        <v>31.729619999999997</v>
      </c>
      <c r="BN14" s="151">
        <v>36.319929999999999</v>
      </c>
      <c r="BO14" s="151">
        <v>40.729900000000001</v>
      </c>
      <c r="BP14" s="151">
        <v>44.677160000000001</v>
      </c>
      <c r="BQ14" s="151">
        <v>47.222650000000002</v>
      </c>
      <c r="BR14" s="151">
        <v>52.528399999999998</v>
      </c>
      <c r="BS14" s="151">
        <v>56.290300000000002</v>
      </c>
      <c r="BT14" s="151">
        <v>59.505929999999992</v>
      </c>
      <c r="BU14" s="151">
        <v>56.922459999999994</v>
      </c>
      <c r="BV14" s="151">
        <v>49.622019999999999</v>
      </c>
      <c r="BW14" s="151">
        <v>39.606909999999999</v>
      </c>
      <c r="BX14" s="151">
        <v>25.808910000000001</v>
      </c>
      <c r="BY14" s="152">
        <v>40.419449999999998</v>
      </c>
      <c r="BZ14" s="151">
        <v>47.413830000000004</v>
      </c>
      <c r="CA14" s="151">
        <v>44.811790000000002</v>
      </c>
      <c r="CB14" s="151">
        <v>37.649030000000003</v>
      </c>
      <c r="CC14" s="151">
        <v>35.666330000000002</v>
      </c>
      <c r="CD14" s="151">
        <v>37.817590000000003</v>
      </c>
      <c r="CE14" s="151">
        <v>43.388060000000003</v>
      </c>
      <c r="CF14" s="151">
        <v>47.411189999999998</v>
      </c>
      <c r="CG14" s="151">
        <v>50.12529</v>
      </c>
      <c r="CH14" s="151">
        <v>54.388840000000002</v>
      </c>
      <c r="CI14" s="151">
        <v>54.301380000000002</v>
      </c>
      <c r="CJ14" s="151">
        <v>55.32159</v>
      </c>
      <c r="CK14" s="151">
        <v>58.25806</v>
      </c>
      <c r="CL14" s="151">
        <v>54.750590000000003</v>
      </c>
      <c r="CM14" s="151">
        <v>51.871769999999998</v>
      </c>
      <c r="CN14" s="151">
        <v>42.227170000000001</v>
      </c>
      <c r="CO14" s="151">
        <v>25.517640000000004</v>
      </c>
      <c r="CP14" s="152">
        <v>45.291340000000005</v>
      </c>
      <c r="CQ14" s="53">
        <v>42.408377000000002</v>
      </c>
      <c r="CR14" s="53">
        <v>35.242290699999998</v>
      </c>
      <c r="CS14" s="53">
        <v>30.395817800000003</v>
      </c>
      <c r="CT14" s="53">
        <v>28.766086299999998</v>
      </c>
      <c r="CU14" s="53">
        <v>30.846153799999996</v>
      </c>
      <c r="CV14" s="53">
        <v>35.708566900000001</v>
      </c>
      <c r="CW14" s="53">
        <v>40.073529400000005</v>
      </c>
      <c r="CX14" s="53">
        <v>43.176972300000003</v>
      </c>
      <c r="CY14" s="53">
        <v>48.936170199999999</v>
      </c>
      <c r="CZ14" s="53">
        <v>48.877374799999998</v>
      </c>
      <c r="DA14" s="53">
        <v>50.521920700000003</v>
      </c>
      <c r="DB14" s="53">
        <v>57.352941199999997</v>
      </c>
      <c r="DC14" s="53">
        <v>53.401360499999996</v>
      </c>
      <c r="DD14" s="53">
        <v>48.888888899999998</v>
      </c>
      <c r="DE14" s="53">
        <v>42.405063300000002</v>
      </c>
      <c r="DF14" s="53">
        <v>27.611940299999997</v>
      </c>
      <c r="DG14" s="53">
        <v>38.581119299999997</v>
      </c>
      <c r="DH14" s="53">
        <v>50.673854399999996</v>
      </c>
      <c r="DI14" s="53">
        <v>49.621212100000001</v>
      </c>
      <c r="DJ14" s="53">
        <v>41.001564899999998</v>
      </c>
      <c r="DK14" s="53">
        <v>38.503319300000001</v>
      </c>
      <c r="DL14" s="53">
        <v>41.224059099999998</v>
      </c>
      <c r="DM14" s="53">
        <v>47.325581399999997</v>
      </c>
      <c r="DN14" s="53">
        <v>50.881410299999999</v>
      </c>
      <c r="DO14" s="53">
        <v>53.019862199999999</v>
      </c>
      <c r="DP14" s="53">
        <v>56.477166799999999</v>
      </c>
      <c r="DQ14" s="53">
        <v>56.1307902</v>
      </c>
      <c r="DR14" s="53">
        <v>56.8373299</v>
      </c>
      <c r="DS14" s="53">
        <v>58.397534699999994</v>
      </c>
      <c r="DT14" s="53">
        <v>55.166374799999993</v>
      </c>
      <c r="DU14" s="53">
        <v>52.619843899999999</v>
      </c>
      <c r="DV14" s="53">
        <v>42.228738999999997</v>
      </c>
      <c r="DW14" s="53">
        <v>25.566343000000003</v>
      </c>
      <c r="DX14" s="53">
        <v>48.048649599999997</v>
      </c>
    </row>
    <row r="15" spans="1:128" x14ac:dyDescent="0.2">
      <c r="A15" s="52">
        <v>11</v>
      </c>
      <c r="B15" s="50" t="s">
        <v>10</v>
      </c>
      <c r="C15" s="155">
        <v>43.708269999999999</v>
      </c>
      <c r="D15" s="155">
        <v>47.961469999999998</v>
      </c>
      <c r="E15" s="155">
        <v>39.052689999999998</v>
      </c>
      <c r="F15" s="155">
        <v>45.700420000000001</v>
      </c>
      <c r="G15" s="155">
        <v>40.246259999999999</v>
      </c>
      <c r="H15" s="53">
        <v>42.338478500000001</v>
      </c>
      <c r="I15" s="53">
        <v>39.5470264</v>
      </c>
      <c r="J15" s="151">
        <v>49.427579999999999</v>
      </c>
      <c r="K15" s="151">
        <v>43.782829999999997</v>
      </c>
      <c r="L15" s="151">
        <v>38.572430000000004</v>
      </c>
      <c r="M15" s="151">
        <v>38.212560000000003</v>
      </c>
      <c r="N15" s="151">
        <v>41.195050000000002</v>
      </c>
      <c r="O15" s="151">
        <v>46.035019999999996</v>
      </c>
      <c r="P15" s="151">
        <v>50.701770000000003</v>
      </c>
      <c r="Q15" s="151">
        <v>53.578409999999998</v>
      </c>
      <c r="R15" s="151">
        <v>56.207900000000002</v>
      </c>
      <c r="S15" s="151">
        <v>58.079360000000001</v>
      </c>
      <c r="T15" s="151">
        <v>59.041140000000006</v>
      </c>
      <c r="U15" s="151">
        <v>61.004899999999992</v>
      </c>
      <c r="V15" s="151">
        <v>59.944200000000002</v>
      </c>
      <c r="W15" s="151">
        <v>52.743169999999992</v>
      </c>
      <c r="X15" s="151">
        <v>44.187870000000004</v>
      </c>
      <c r="Y15" s="151">
        <v>26.460789999999999</v>
      </c>
      <c r="Z15" s="152">
        <v>47.961469999999998</v>
      </c>
      <c r="AA15" s="151">
        <v>42.779559999999996</v>
      </c>
      <c r="AB15" s="151">
        <v>36.413710000000002</v>
      </c>
      <c r="AC15" s="151">
        <v>29.233229999999999</v>
      </c>
      <c r="AD15" s="151">
        <v>25.930039999999998</v>
      </c>
      <c r="AE15" s="151">
        <v>28.829070000000002</v>
      </c>
      <c r="AF15" s="151">
        <v>33.670870000000001</v>
      </c>
      <c r="AG15" s="151">
        <v>38.960790000000003</v>
      </c>
      <c r="AH15" s="151">
        <v>43.920559999999995</v>
      </c>
      <c r="AI15" s="151">
        <v>47.326329999999999</v>
      </c>
      <c r="AJ15" s="151">
        <v>51.414570000000005</v>
      </c>
      <c r="AK15" s="151">
        <v>55.876620000000003</v>
      </c>
      <c r="AL15" s="151">
        <v>59.396230000000003</v>
      </c>
      <c r="AM15" s="151">
        <v>62.297969999999999</v>
      </c>
      <c r="AN15" s="151">
        <v>59.058580000000006</v>
      </c>
      <c r="AO15" s="151">
        <v>53.167489999999994</v>
      </c>
      <c r="AP15" s="151">
        <v>37.943300000000001</v>
      </c>
      <c r="AQ15" s="152">
        <v>39.052689999999998</v>
      </c>
      <c r="AR15" s="151">
        <v>46.15851</v>
      </c>
      <c r="AS15" s="151">
        <v>40.157049999999998</v>
      </c>
      <c r="AT15" s="151">
        <v>33.938940000000002</v>
      </c>
      <c r="AU15" s="151">
        <v>32.08764</v>
      </c>
      <c r="AV15" s="151">
        <v>35.234349999999999</v>
      </c>
      <c r="AW15" s="151">
        <v>40.12912</v>
      </c>
      <c r="AX15" s="151">
        <v>45.153959999999998</v>
      </c>
      <c r="AY15" s="151">
        <v>49.015259999999998</v>
      </c>
      <c r="AZ15" s="151">
        <v>52.046709999999997</v>
      </c>
      <c r="BA15" s="151">
        <v>55.014759999999995</v>
      </c>
      <c r="BB15" s="151">
        <v>57.570600000000006</v>
      </c>
      <c r="BC15" s="151">
        <v>60.257819999999995</v>
      </c>
      <c r="BD15" s="151">
        <v>61.041140000000006</v>
      </c>
      <c r="BE15" s="151">
        <v>55.590879999999999</v>
      </c>
      <c r="BF15" s="151">
        <v>48.164239999999999</v>
      </c>
      <c r="BG15" s="151">
        <v>31.259809999999998</v>
      </c>
      <c r="BH15" s="152">
        <v>43.708269999999999</v>
      </c>
      <c r="BI15" s="151">
        <v>47.589869999999998</v>
      </c>
      <c r="BJ15" s="151">
        <v>42.418390000000002</v>
      </c>
      <c r="BK15" s="151">
        <v>35.709330000000001</v>
      </c>
      <c r="BL15" s="151">
        <v>33.56812</v>
      </c>
      <c r="BM15" s="151">
        <v>36.10454</v>
      </c>
      <c r="BN15" s="151">
        <v>40.989710000000002</v>
      </c>
      <c r="BO15" s="151">
        <v>46.344629999999995</v>
      </c>
      <c r="BP15" s="151">
        <v>50.236270000000005</v>
      </c>
      <c r="BQ15" s="151">
        <v>54.319960000000002</v>
      </c>
      <c r="BR15" s="151">
        <v>57.558810000000008</v>
      </c>
      <c r="BS15" s="151">
        <v>60.461500000000001</v>
      </c>
      <c r="BT15" s="151">
        <v>63.595259999999996</v>
      </c>
      <c r="BU15" s="151">
        <v>63.626740000000005</v>
      </c>
      <c r="BV15" s="151">
        <v>57.91225</v>
      </c>
      <c r="BW15" s="151">
        <v>50.536919999999995</v>
      </c>
      <c r="BX15" s="151">
        <v>35.25141</v>
      </c>
      <c r="BY15" s="152">
        <v>45.700420000000001</v>
      </c>
      <c r="BZ15" s="151">
        <v>43.738430000000001</v>
      </c>
      <c r="CA15" s="151">
        <v>36.499450000000003</v>
      </c>
      <c r="CB15" s="151">
        <v>31.001909999999999</v>
      </c>
      <c r="CC15" s="151">
        <v>29.69969</v>
      </c>
      <c r="CD15" s="151">
        <v>33.829500000000003</v>
      </c>
      <c r="CE15" s="151">
        <v>38.707900000000002</v>
      </c>
      <c r="CF15" s="151">
        <v>43.080069999999999</v>
      </c>
      <c r="CG15" s="151">
        <v>46.746259999999999</v>
      </c>
      <c r="CH15" s="151">
        <v>47.533729999999998</v>
      </c>
      <c r="CI15" s="151">
        <v>49.999919999999996</v>
      </c>
      <c r="CJ15" s="151">
        <v>51.715940000000003</v>
      </c>
      <c r="CK15" s="151">
        <v>53.815040000000003</v>
      </c>
      <c r="CL15" s="151">
        <v>56.343109999999996</v>
      </c>
      <c r="CM15" s="151">
        <v>51.727400000000003</v>
      </c>
      <c r="CN15" s="151">
        <v>44.599179999999997</v>
      </c>
      <c r="CO15" s="151">
        <v>26.020510000000002</v>
      </c>
      <c r="CP15" s="152">
        <v>40.246259999999999</v>
      </c>
      <c r="CQ15" s="53">
        <v>47.043363999999997</v>
      </c>
      <c r="CR15" s="53">
        <v>39.000876400000003</v>
      </c>
      <c r="CS15" s="53">
        <v>32.691381800000002</v>
      </c>
      <c r="CT15" s="53">
        <v>31.189241699999997</v>
      </c>
      <c r="CU15" s="53">
        <v>35.2545298</v>
      </c>
      <c r="CV15" s="53">
        <v>40.303893600000002</v>
      </c>
      <c r="CW15" s="53">
        <v>45.460264199999997</v>
      </c>
      <c r="CX15" s="53">
        <v>48.228625400000006</v>
      </c>
      <c r="CY15" s="53">
        <v>49.597523199999998</v>
      </c>
      <c r="CZ15" s="53">
        <v>54.697134599999998</v>
      </c>
      <c r="DA15" s="53">
        <v>58.413001899999998</v>
      </c>
      <c r="DB15" s="53">
        <v>57.942238300000007</v>
      </c>
      <c r="DC15" s="53">
        <v>58.440445600000004</v>
      </c>
      <c r="DD15" s="53">
        <v>54.677206899999995</v>
      </c>
      <c r="DE15" s="53">
        <v>48.582230599999995</v>
      </c>
      <c r="DF15" s="53">
        <v>28.411215000000002</v>
      </c>
      <c r="DG15" s="53">
        <v>42.338478500000001</v>
      </c>
      <c r="DH15" s="53">
        <v>42.506297199999999</v>
      </c>
      <c r="DI15" s="53">
        <v>35.635920399999996</v>
      </c>
      <c r="DJ15" s="53">
        <v>30.607319999999998</v>
      </c>
      <c r="DK15" s="53">
        <v>29.312672800000001</v>
      </c>
      <c r="DL15" s="53">
        <v>33.387815799999998</v>
      </c>
      <c r="DM15" s="53">
        <v>38.159979999999997</v>
      </c>
      <c r="DN15" s="53">
        <v>42.143919699999998</v>
      </c>
      <c r="DO15" s="53">
        <v>46.273570800000002</v>
      </c>
      <c r="DP15" s="53">
        <v>46.807729899999998</v>
      </c>
      <c r="DQ15" s="53">
        <v>48.192771100000002</v>
      </c>
      <c r="DR15" s="53">
        <v>49.157496600000002</v>
      </c>
      <c r="DS15" s="53">
        <v>52.239125799999997</v>
      </c>
      <c r="DT15" s="53">
        <v>55.410292099999999</v>
      </c>
      <c r="DU15" s="53">
        <v>50.839416100000001</v>
      </c>
      <c r="DV15" s="53">
        <v>43.534260699999997</v>
      </c>
      <c r="DW15" s="53">
        <v>25.406698599999999</v>
      </c>
      <c r="DX15" s="53">
        <v>39.5470264</v>
      </c>
    </row>
    <row r="16" spans="1:128" x14ac:dyDescent="0.2">
      <c r="A16" s="52">
        <v>12</v>
      </c>
      <c r="B16" s="50" t="s">
        <v>11</v>
      </c>
      <c r="C16" s="155">
        <v>56.088769999999997</v>
      </c>
      <c r="D16" s="155">
        <v>59.818890000000003</v>
      </c>
      <c r="E16" s="155">
        <v>51.963179999999994</v>
      </c>
      <c r="F16" s="155">
        <v>51.924300000000002</v>
      </c>
      <c r="G16" s="155">
        <v>60.084059999999994</v>
      </c>
      <c r="H16" s="53">
        <v>56.905690799999995</v>
      </c>
      <c r="I16" s="53">
        <v>61.301882399999997</v>
      </c>
      <c r="J16" s="151">
        <v>61.405010000000004</v>
      </c>
      <c r="K16" s="151">
        <v>55.363660000000003</v>
      </c>
      <c r="L16" s="151">
        <v>49.807499999999997</v>
      </c>
      <c r="M16" s="151">
        <v>51.022629999999999</v>
      </c>
      <c r="N16" s="151">
        <v>56.655199999999994</v>
      </c>
      <c r="O16" s="151">
        <v>61.273020000000002</v>
      </c>
      <c r="P16" s="151">
        <v>65.372039999999998</v>
      </c>
      <c r="Q16" s="151">
        <v>67.102399999999989</v>
      </c>
      <c r="R16" s="151">
        <v>69.349689999999995</v>
      </c>
      <c r="S16" s="151">
        <v>68.927550000000011</v>
      </c>
      <c r="T16" s="151">
        <v>68.783709999999999</v>
      </c>
      <c r="U16" s="151">
        <v>67.982979999999998</v>
      </c>
      <c r="V16" s="151">
        <v>65.571129999999997</v>
      </c>
      <c r="W16" s="151">
        <v>59.587469999999996</v>
      </c>
      <c r="X16" s="151">
        <v>50.011430000000004</v>
      </c>
      <c r="Y16" s="151">
        <v>32.620139999999999</v>
      </c>
      <c r="Z16" s="152">
        <v>59.818890000000003</v>
      </c>
      <c r="AA16" s="151">
        <v>53.487779999999994</v>
      </c>
      <c r="AB16" s="151">
        <v>47.573410000000003</v>
      </c>
      <c r="AC16" s="151">
        <v>39.123780000000004</v>
      </c>
      <c r="AD16" s="151">
        <v>37.863819999999997</v>
      </c>
      <c r="AE16" s="151">
        <v>44.024259999999998</v>
      </c>
      <c r="AF16" s="151">
        <v>49.443669999999997</v>
      </c>
      <c r="AG16" s="151">
        <v>54.843359999999997</v>
      </c>
      <c r="AH16" s="151">
        <v>58.594389999999997</v>
      </c>
      <c r="AI16" s="151">
        <v>62.307120000000005</v>
      </c>
      <c r="AJ16" s="151">
        <v>65.010109999999997</v>
      </c>
      <c r="AK16" s="151">
        <v>68.397919999999999</v>
      </c>
      <c r="AL16" s="151">
        <v>70.3172</v>
      </c>
      <c r="AM16" s="151">
        <v>70.771209999999996</v>
      </c>
      <c r="AN16" s="151">
        <v>64.844440000000006</v>
      </c>
      <c r="AO16" s="151">
        <v>57.945029999999996</v>
      </c>
      <c r="AP16" s="151">
        <v>41.17998</v>
      </c>
      <c r="AQ16" s="152">
        <v>51.963179999999994</v>
      </c>
      <c r="AR16" s="151">
        <v>57.734620000000007</v>
      </c>
      <c r="AS16" s="151">
        <v>51.682430000000004</v>
      </c>
      <c r="AT16" s="151">
        <v>44.5899</v>
      </c>
      <c r="AU16" s="151">
        <v>44.62189</v>
      </c>
      <c r="AV16" s="151">
        <v>50.634480000000003</v>
      </c>
      <c r="AW16" s="151">
        <v>55.642299999999999</v>
      </c>
      <c r="AX16" s="151">
        <v>60.355049999999999</v>
      </c>
      <c r="AY16" s="151">
        <v>63.027679999999997</v>
      </c>
      <c r="AZ16" s="151">
        <v>66.052789999999987</v>
      </c>
      <c r="BA16" s="151">
        <v>67.126319999999993</v>
      </c>
      <c r="BB16" s="151">
        <v>68.604030000000009</v>
      </c>
      <c r="BC16" s="151">
        <v>69.093350000000001</v>
      </c>
      <c r="BD16" s="151">
        <v>68.022539999999992</v>
      </c>
      <c r="BE16" s="151">
        <v>62.008200000000002</v>
      </c>
      <c r="BF16" s="151">
        <v>53.533949999999997</v>
      </c>
      <c r="BG16" s="151">
        <v>36.233340000000005</v>
      </c>
      <c r="BH16" s="152">
        <v>56.088769999999997</v>
      </c>
      <c r="BI16" s="151">
        <v>53.515779999999999</v>
      </c>
      <c r="BJ16" s="151">
        <v>48.677610000000001</v>
      </c>
      <c r="BK16" s="151">
        <v>40.61974</v>
      </c>
      <c r="BL16" s="151">
        <v>39.819630000000004</v>
      </c>
      <c r="BM16" s="151">
        <v>45.106310000000001</v>
      </c>
      <c r="BN16" s="151">
        <v>50.182729999999999</v>
      </c>
      <c r="BO16" s="151">
        <v>54.757069999999999</v>
      </c>
      <c r="BP16" s="151">
        <v>58.203159999999997</v>
      </c>
      <c r="BQ16" s="151">
        <v>61.513439999999996</v>
      </c>
      <c r="BR16" s="151">
        <v>63.193659999999994</v>
      </c>
      <c r="BS16" s="151">
        <v>64.945850000000007</v>
      </c>
      <c r="BT16" s="151">
        <v>65.43647</v>
      </c>
      <c r="BU16" s="151">
        <v>65.108530000000002</v>
      </c>
      <c r="BV16" s="151">
        <v>58.124849999999995</v>
      </c>
      <c r="BW16" s="151">
        <v>48.824509999999997</v>
      </c>
      <c r="BX16" s="151">
        <v>29.456359999999997</v>
      </c>
      <c r="BY16" s="152">
        <v>51.924300000000002</v>
      </c>
      <c r="BZ16" s="151">
        <v>62.207599999999999</v>
      </c>
      <c r="CA16" s="151">
        <v>54.519320000000008</v>
      </c>
      <c r="CB16" s="151">
        <v>47.955770000000001</v>
      </c>
      <c r="CC16" s="151">
        <v>48.791689999999996</v>
      </c>
      <c r="CD16" s="151">
        <v>55.899169999999998</v>
      </c>
      <c r="CE16" s="151">
        <v>60.924979999999998</v>
      </c>
      <c r="CF16" s="151">
        <v>65.903080000000003</v>
      </c>
      <c r="CG16" s="151">
        <v>68.088329999999999</v>
      </c>
      <c r="CH16" s="151">
        <v>71.030199999999994</v>
      </c>
      <c r="CI16" s="151">
        <v>71.605759999999989</v>
      </c>
      <c r="CJ16" s="151">
        <v>72.729169999999996</v>
      </c>
      <c r="CK16" s="151">
        <v>72.896720000000002</v>
      </c>
      <c r="CL16" s="151">
        <v>70.854070000000007</v>
      </c>
      <c r="CM16" s="151">
        <v>65.202389999999994</v>
      </c>
      <c r="CN16" s="151">
        <v>56.994100000000003</v>
      </c>
      <c r="CO16" s="151">
        <v>40.636960000000002</v>
      </c>
      <c r="CP16" s="152">
        <v>60.084059999999994</v>
      </c>
      <c r="CQ16" s="53">
        <v>58.373983699999997</v>
      </c>
      <c r="CR16" s="53">
        <v>51.639344299999998</v>
      </c>
      <c r="CS16" s="53">
        <v>46.6003653</v>
      </c>
      <c r="CT16" s="53">
        <v>46.201105900000002</v>
      </c>
      <c r="CU16" s="53">
        <v>51.076040199999994</v>
      </c>
      <c r="CV16" s="53">
        <v>56.747759299999998</v>
      </c>
      <c r="CW16" s="53">
        <v>60.424542000000002</v>
      </c>
      <c r="CX16" s="53">
        <v>63.5374573</v>
      </c>
      <c r="CY16" s="53">
        <v>67.353951899999998</v>
      </c>
      <c r="CZ16" s="53">
        <v>68.596882000000008</v>
      </c>
      <c r="DA16" s="53">
        <v>68.676716900000002</v>
      </c>
      <c r="DB16" s="53">
        <v>69.543147199999993</v>
      </c>
      <c r="DC16" s="53">
        <v>68.426103600000005</v>
      </c>
      <c r="DD16" s="53">
        <v>66.624685100000008</v>
      </c>
      <c r="DE16" s="53">
        <v>53.418123999999999</v>
      </c>
      <c r="DF16" s="53">
        <v>39.130434800000003</v>
      </c>
      <c r="DG16" s="53">
        <v>56.905690799999995</v>
      </c>
      <c r="DH16" s="53">
        <v>64.356435599999998</v>
      </c>
      <c r="DI16" s="53">
        <v>55.954825500000005</v>
      </c>
      <c r="DJ16" s="53">
        <v>48.608850099999998</v>
      </c>
      <c r="DK16" s="53">
        <v>49.746751799999998</v>
      </c>
      <c r="DL16" s="53">
        <v>57.713282200000002</v>
      </c>
      <c r="DM16" s="53">
        <v>62.766410900000004</v>
      </c>
      <c r="DN16" s="53">
        <v>68.150076900000002</v>
      </c>
      <c r="DO16" s="53">
        <v>70.062860099999995</v>
      </c>
      <c r="DP16" s="53">
        <v>72.526299699999996</v>
      </c>
      <c r="DQ16" s="53">
        <v>72.872433799999996</v>
      </c>
      <c r="DR16" s="53">
        <v>74.111993299999995</v>
      </c>
      <c r="DS16" s="53">
        <v>73.919449900000004</v>
      </c>
      <c r="DT16" s="53">
        <v>71.300309600000006</v>
      </c>
      <c r="DU16" s="53">
        <v>64.527889200000004</v>
      </c>
      <c r="DV16" s="53">
        <v>57.892293399999993</v>
      </c>
      <c r="DW16" s="53">
        <v>40.433513999999995</v>
      </c>
      <c r="DX16" s="53">
        <v>61.301882399999997</v>
      </c>
    </row>
    <row r="17" spans="1:128" x14ac:dyDescent="0.2">
      <c r="A17" s="52">
        <v>13</v>
      </c>
      <c r="B17" s="50" t="s">
        <v>12</v>
      </c>
      <c r="C17" s="155">
        <v>45.93674</v>
      </c>
      <c r="D17" s="155">
        <v>48.904920000000004</v>
      </c>
      <c r="E17" s="155">
        <v>42.600259999999999</v>
      </c>
      <c r="F17" s="155">
        <v>48.190690000000004</v>
      </c>
      <c r="G17" s="155">
        <v>44.589449999999999</v>
      </c>
      <c r="H17" s="53">
        <v>41.923510499999999</v>
      </c>
      <c r="I17" s="53">
        <v>47.579051399999997</v>
      </c>
      <c r="J17" s="151">
        <v>52.419559999999997</v>
      </c>
      <c r="K17" s="151">
        <v>45.685429999999997</v>
      </c>
      <c r="L17" s="151">
        <v>37.54327</v>
      </c>
      <c r="M17" s="151">
        <v>37.824669999999998</v>
      </c>
      <c r="N17" s="151">
        <v>41.693719999999999</v>
      </c>
      <c r="O17" s="151">
        <v>46.358280000000001</v>
      </c>
      <c r="P17" s="151">
        <v>50.861000000000004</v>
      </c>
      <c r="Q17" s="151">
        <v>53.851099999999995</v>
      </c>
      <c r="R17" s="151">
        <v>56.167110000000001</v>
      </c>
      <c r="S17" s="151">
        <v>59.266240000000003</v>
      </c>
      <c r="T17" s="151">
        <v>62.341270000000002</v>
      </c>
      <c r="U17" s="151">
        <v>67.02091999999999</v>
      </c>
      <c r="V17" s="151">
        <v>64.091440000000006</v>
      </c>
      <c r="W17" s="151">
        <v>55.152069999999995</v>
      </c>
      <c r="X17" s="151">
        <v>45.917270000000002</v>
      </c>
      <c r="Y17" s="151">
        <v>26.456259999999997</v>
      </c>
      <c r="Z17" s="152">
        <v>48.904920000000004</v>
      </c>
      <c r="AA17" s="151">
        <v>46.608400000000003</v>
      </c>
      <c r="AB17" s="151">
        <v>38.420819999999999</v>
      </c>
      <c r="AC17" s="151">
        <v>30.061979999999998</v>
      </c>
      <c r="AD17" s="151">
        <v>26.628730000000001</v>
      </c>
      <c r="AE17" s="151">
        <v>30.744800000000001</v>
      </c>
      <c r="AF17" s="151">
        <v>36.54889</v>
      </c>
      <c r="AG17" s="151">
        <v>41.242289999999997</v>
      </c>
      <c r="AH17" s="151">
        <v>47.905609999999996</v>
      </c>
      <c r="AI17" s="151">
        <v>52.117530000000002</v>
      </c>
      <c r="AJ17" s="151">
        <v>56.775030000000001</v>
      </c>
      <c r="AK17" s="151">
        <v>61.182360000000003</v>
      </c>
      <c r="AL17" s="151">
        <v>68.391939999999991</v>
      </c>
      <c r="AM17" s="151">
        <v>69.638030000000001</v>
      </c>
      <c r="AN17" s="151">
        <v>66.89903000000001</v>
      </c>
      <c r="AO17" s="151">
        <v>54.881179999999993</v>
      </c>
      <c r="AP17" s="151">
        <v>36.654449999999997</v>
      </c>
      <c r="AQ17" s="152">
        <v>42.600259999999999</v>
      </c>
      <c r="AR17" s="151">
        <v>49.520879999999998</v>
      </c>
      <c r="AS17" s="151">
        <v>42.063949999999998</v>
      </c>
      <c r="AT17" s="151">
        <v>33.820650000000001</v>
      </c>
      <c r="AU17" s="151">
        <v>32.39378</v>
      </c>
      <c r="AV17" s="151">
        <v>36.576609999999995</v>
      </c>
      <c r="AW17" s="151">
        <v>41.779600000000002</v>
      </c>
      <c r="AX17" s="151">
        <v>46.39752</v>
      </c>
      <c r="AY17" s="151">
        <v>51.073800000000006</v>
      </c>
      <c r="AZ17" s="151">
        <v>54.314540000000001</v>
      </c>
      <c r="BA17" s="151">
        <v>58.127589999999998</v>
      </c>
      <c r="BB17" s="151">
        <v>61.800429999999992</v>
      </c>
      <c r="BC17" s="151">
        <v>67.659679999999994</v>
      </c>
      <c r="BD17" s="151">
        <v>66.668810000000008</v>
      </c>
      <c r="BE17" s="151">
        <v>60.64452</v>
      </c>
      <c r="BF17" s="151">
        <v>49.893929999999997</v>
      </c>
      <c r="BG17" s="151">
        <v>30.525300000000001</v>
      </c>
      <c r="BH17" s="152">
        <v>45.93674</v>
      </c>
      <c r="BI17" s="151">
        <v>55.341660000000005</v>
      </c>
      <c r="BJ17" s="151">
        <v>45.646279999999997</v>
      </c>
      <c r="BK17" s="151">
        <v>37.665349999999997</v>
      </c>
      <c r="BL17" s="151">
        <v>34.415099999999995</v>
      </c>
      <c r="BM17" s="151">
        <v>36.555869999999999</v>
      </c>
      <c r="BN17" s="151">
        <v>42.200839999999999</v>
      </c>
      <c r="BO17" s="151">
        <v>47.90558</v>
      </c>
      <c r="BP17" s="151">
        <v>52.739999999999995</v>
      </c>
      <c r="BQ17" s="151">
        <v>56.471490000000003</v>
      </c>
      <c r="BR17" s="151">
        <v>60.226080000000003</v>
      </c>
      <c r="BS17" s="151">
        <v>65.391800000000003</v>
      </c>
      <c r="BT17" s="151">
        <v>69.323509999999999</v>
      </c>
      <c r="BU17" s="151">
        <v>67.315029999999993</v>
      </c>
      <c r="BV17" s="151">
        <v>61.824009999999994</v>
      </c>
      <c r="BW17" s="151">
        <v>51.397950000000002</v>
      </c>
      <c r="BX17" s="151">
        <v>31.182680000000001</v>
      </c>
      <c r="BY17" s="152">
        <v>48.190690000000004</v>
      </c>
      <c r="BZ17" s="151">
        <v>46.185229999999997</v>
      </c>
      <c r="CA17" s="151">
        <v>39.98001</v>
      </c>
      <c r="CB17" s="151">
        <v>31.618180000000002</v>
      </c>
      <c r="CC17" s="151">
        <v>31.258209999999998</v>
      </c>
      <c r="CD17" s="151">
        <v>36.588439999999999</v>
      </c>
      <c r="CE17" s="151">
        <v>41.534649999999999</v>
      </c>
      <c r="CF17" s="151">
        <v>45.516279999999995</v>
      </c>
      <c r="CG17" s="151">
        <v>50.048119999999997</v>
      </c>
      <c r="CH17" s="151">
        <v>52.945689999999999</v>
      </c>
      <c r="CI17" s="151">
        <v>56.733409999999992</v>
      </c>
      <c r="CJ17" s="151">
        <v>59.272800000000004</v>
      </c>
      <c r="CK17" s="151">
        <v>66.544139999999999</v>
      </c>
      <c r="CL17" s="151">
        <v>66.269449999999992</v>
      </c>
      <c r="CM17" s="151">
        <v>59.979760000000006</v>
      </c>
      <c r="CN17" s="151">
        <v>49.123550000000002</v>
      </c>
      <c r="CO17" s="151">
        <v>30.191749999999999</v>
      </c>
      <c r="CP17" s="152">
        <v>44.589449999999999</v>
      </c>
      <c r="CQ17" s="53">
        <v>45.213379500000002</v>
      </c>
      <c r="CR17" s="53">
        <v>39.285714300000002</v>
      </c>
      <c r="CS17" s="53">
        <v>32.052401699999997</v>
      </c>
      <c r="CT17" s="53">
        <v>29.146152800000003</v>
      </c>
      <c r="CU17" s="53">
        <v>33.141994000000004</v>
      </c>
      <c r="CV17" s="53">
        <v>38.5423197</v>
      </c>
      <c r="CW17" s="53">
        <v>41.800165200000002</v>
      </c>
      <c r="CX17" s="53">
        <v>46.787184500000002</v>
      </c>
      <c r="CY17" s="53">
        <v>49.864986500000001</v>
      </c>
      <c r="CZ17" s="53">
        <v>54.289732800000003</v>
      </c>
      <c r="DA17" s="53">
        <v>57.534734600000007</v>
      </c>
      <c r="DB17" s="53">
        <v>63.370473500000003</v>
      </c>
      <c r="DC17" s="53">
        <v>62.965382099999999</v>
      </c>
      <c r="DD17" s="53">
        <v>55.109837599999999</v>
      </c>
      <c r="DE17" s="53">
        <v>49.5901639</v>
      </c>
      <c r="DF17" s="53">
        <v>28.078817700000002</v>
      </c>
      <c r="DG17" s="53">
        <v>41.923510499999999</v>
      </c>
      <c r="DH17" s="53">
        <v>47.420634900000003</v>
      </c>
      <c r="DI17" s="53">
        <v>41.6233766</v>
      </c>
      <c r="DJ17" s="53">
        <v>31.705516299999996</v>
      </c>
      <c r="DK17" s="53">
        <v>33.397590399999999</v>
      </c>
      <c r="DL17" s="53">
        <v>40.485783400000003</v>
      </c>
      <c r="DM17" s="53">
        <v>45.099987600000006</v>
      </c>
      <c r="DN17" s="53">
        <v>50.033328899999994</v>
      </c>
      <c r="DO17" s="53">
        <v>53.881278499999993</v>
      </c>
      <c r="DP17" s="53">
        <v>56.415247399999998</v>
      </c>
      <c r="DQ17" s="53">
        <v>59.659850900000002</v>
      </c>
      <c r="DR17" s="53">
        <v>61.330512499999998</v>
      </c>
      <c r="DS17" s="53">
        <v>69.300739100000001</v>
      </c>
      <c r="DT17" s="53">
        <v>69.020021099999994</v>
      </c>
      <c r="DU17" s="53">
        <v>63.0445189</v>
      </c>
      <c r="DV17" s="53">
        <v>49.595687300000002</v>
      </c>
      <c r="DW17" s="53">
        <v>31.3333333</v>
      </c>
      <c r="DX17" s="53">
        <v>47.579051399999997</v>
      </c>
    </row>
    <row r="18" spans="1:128" x14ac:dyDescent="0.2">
      <c r="A18" s="52">
        <v>14</v>
      </c>
      <c r="B18" s="50" t="s">
        <v>13</v>
      </c>
      <c r="C18" s="155">
        <v>47.130009999999999</v>
      </c>
      <c r="D18" s="155">
        <v>50.504079999999995</v>
      </c>
      <c r="E18" s="155">
        <v>43.563099999999999</v>
      </c>
      <c r="F18" s="155">
        <v>46.659880000000001</v>
      </c>
      <c r="G18" s="155">
        <v>48.256139999999995</v>
      </c>
      <c r="H18" s="53">
        <v>46.638726600000005</v>
      </c>
      <c r="I18" s="53">
        <v>54.899541500000005</v>
      </c>
      <c r="J18" s="151">
        <v>53.031320000000001</v>
      </c>
      <c r="K18" s="151">
        <v>47.574060000000003</v>
      </c>
      <c r="L18" s="151">
        <v>40.637279999999997</v>
      </c>
      <c r="M18" s="151">
        <v>39.396070000000002</v>
      </c>
      <c r="N18" s="151">
        <v>43.672620000000002</v>
      </c>
      <c r="O18" s="151">
        <v>48.130450000000003</v>
      </c>
      <c r="P18" s="151">
        <v>52.32611</v>
      </c>
      <c r="Q18" s="151">
        <v>55.934209999999993</v>
      </c>
      <c r="R18" s="151">
        <v>58.373070000000006</v>
      </c>
      <c r="S18" s="151">
        <v>60.735329999999998</v>
      </c>
      <c r="T18" s="151">
        <v>62.125079999999997</v>
      </c>
      <c r="U18" s="151">
        <v>62.953510000000001</v>
      </c>
      <c r="V18" s="151">
        <v>62.858230000000006</v>
      </c>
      <c r="W18" s="151">
        <v>55.920830000000002</v>
      </c>
      <c r="X18" s="151">
        <v>46.671210000000002</v>
      </c>
      <c r="Y18" s="151">
        <v>30.025489999999998</v>
      </c>
      <c r="Z18" s="152">
        <v>50.504079999999995</v>
      </c>
      <c r="AA18" s="151">
        <v>48.6755</v>
      </c>
      <c r="AB18" s="151">
        <v>40.962890000000002</v>
      </c>
      <c r="AC18" s="151">
        <v>33.62726</v>
      </c>
      <c r="AD18" s="151">
        <v>30.908950000000001</v>
      </c>
      <c r="AE18" s="151">
        <v>34.088950000000004</v>
      </c>
      <c r="AF18" s="151">
        <v>38.395189999999999</v>
      </c>
      <c r="AG18" s="151">
        <v>43.781189999999995</v>
      </c>
      <c r="AH18" s="151">
        <v>47.679270000000002</v>
      </c>
      <c r="AI18" s="151">
        <v>51.332880000000003</v>
      </c>
      <c r="AJ18" s="151">
        <v>54.321180000000005</v>
      </c>
      <c r="AK18" s="151">
        <v>58.697619999999993</v>
      </c>
      <c r="AL18" s="151">
        <v>62.726879999999994</v>
      </c>
      <c r="AM18" s="151">
        <v>62.910750000000007</v>
      </c>
      <c r="AN18" s="151">
        <v>61.356250000000003</v>
      </c>
      <c r="AO18" s="151">
        <v>54.113770000000002</v>
      </c>
      <c r="AP18" s="151">
        <v>37.874360000000003</v>
      </c>
      <c r="AQ18" s="152">
        <v>43.563099999999999</v>
      </c>
      <c r="AR18" s="151">
        <v>50.881030000000003</v>
      </c>
      <c r="AS18" s="151">
        <v>44.287269999999999</v>
      </c>
      <c r="AT18" s="151">
        <v>37.149039999999999</v>
      </c>
      <c r="AU18" s="151">
        <v>35.123199999999997</v>
      </c>
      <c r="AV18" s="151">
        <v>38.885570000000001</v>
      </c>
      <c r="AW18" s="151">
        <v>43.293210000000002</v>
      </c>
      <c r="AX18" s="151">
        <v>48.173680000000004</v>
      </c>
      <c r="AY18" s="151">
        <v>51.915820000000004</v>
      </c>
      <c r="AZ18" s="151">
        <v>55.017780000000002</v>
      </c>
      <c r="BA18" s="151">
        <v>57.721820000000001</v>
      </c>
      <c r="BB18" s="151">
        <v>60.524469999999994</v>
      </c>
      <c r="BC18" s="151">
        <v>62.848099999999995</v>
      </c>
      <c r="BD18" s="151">
        <v>62.882910000000003</v>
      </c>
      <c r="BE18" s="151">
        <v>58.416489999999996</v>
      </c>
      <c r="BF18" s="151">
        <v>50.016760000000005</v>
      </c>
      <c r="BG18" s="151">
        <v>33.281100000000002</v>
      </c>
      <c r="BH18" s="152">
        <v>47.130009999999999</v>
      </c>
      <c r="BI18" s="151">
        <v>50.781330000000004</v>
      </c>
      <c r="BJ18" s="151">
        <v>43.76003</v>
      </c>
      <c r="BK18" s="151">
        <v>36.079799999999999</v>
      </c>
      <c r="BL18" s="151">
        <v>33.877160000000003</v>
      </c>
      <c r="BM18" s="151">
        <v>37.366399999999999</v>
      </c>
      <c r="BN18" s="151">
        <v>42.00732</v>
      </c>
      <c r="BO18" s="151">
        <v>47.088590000000003</v>
      </c>
      <c r="BP18" s="151">
        <v>51.165400000000005</v>
      </c>
      <c r="BQ18" s="151">
        <v>54.674250000000001</v>
      </c>
      <c r="BR18" s="151">
        <v>57.871510000000001</v>
      </c>
      <c r="BS18" s="151">
        <v>61.532499999999999</v>
      </c>
      <c r="BT18" s="151">
        <v>64.139430000000004</v>
      </c>
      <c r="BU18" s="151">
        <v>64.092380000000006</v>
      </c>
      <c r="BV18" s="151">
        <v>59.729019999999998</v>
      </c>
      <c r="BW18" s="151">
        <v>50.366330000000005</v>
      </c>
      <c r="BX18" s="151">
        <v>32.445070000000001</v>
      </c>
      <c r="BY18" s="152">
        <v>46.659880000000001</v>
      </c>
      <c r="BZ18" s="151">
        <v>51.097570000000005</v>
      </c>
      <c r="CA18" s="151">
        <v>45.421379999999999</v>
      </c>
      <c r="CB18" s="151">
        <v>39.570819999999998</v>
      </c>
      <c r="CC18" s="151">
        <v>38.174580000000006</v>
      </c>
      <c r="CD18" s="151">
        <v>42.451779999999999</v>
      </c>
      <c r="CE18" s="151">
        <v>46.254640000000002</v>
      </c>
      <c r="CF18" s="151">
        <v>50.632639999999995</v>
      </c>
      <c r="CG18" s="151">
        <v>53.670260000000006</v>
      </c>
      <c r="CH18" s="151">
        <v>55.892139999999998</v>
      </c>
      <c r="CI18" s="151">
        <v>57.330080000000002</v>
      </c>
      <c r="CJ18" s="151">
        <v>57.754980000000003</v>
      </c>
      <c r="CK18" s="151">
        <v>59.386279999999999</v>
      </c>
      <c r="CL18" s="151">
        <v>59.674619999999997</v>
      </c>
      <c r="CM18" s="151">
        <v>55.335889999999999</v>
      </c>
      <c r="CN18" s="151">
        <v>49.267389999999999</v>
      </c>
      <c r="CO18" s="151">
        <v>34.948810000000002</v>
      </c>
      <c r="CP18" s="152">
        <v>48.256139999999995</v>
      </c>
      <c r="CQ18" s="53">
        <v>49.499544999999998</v>
      </c>
      <c r="CR18" s="53">
        <v>42.812105900000006</v>
      </c>
      <c r="CS18" s="53">
        <v>37.5749426</v>
      </c>
      <c r="CT18" s="53">
        <v>36.845526499999998</v>
      </c>
      <c r="CU18" s="53">
        <v>40.266263200000004</v>
      </c>
      <c r="CV18" s="53">
        <v>44.561559499999994</v>
      </c>
      <c r="CW18" s="53">
        <v>49.513134899999997</v>
      </c>
      <c r="CX18" s="53">
        <v>51.981491199999994</v>
      </c>
      <c r="CY18" s="53">
        <v>54.607379399999999</v>
      </c>
      <c r="CZ18" s="53">
        <v>56.847876799999995</v>
      </c>
      <c r="DA18" s="53">
        <v>56.935172800000004</v>
      </c>
      <c r="DB18" s="53">
        <v>58.547879199999997</v>
      </c>
      <c r="DC18" s="53">
        <v>59.041339100000002</v>
      </c>
      <c r="DD18" s="53">
        <v>55.111111100000002</v>
      </c>
      <c r="DE18" s="53">
        <v>47.498625599999997</v>
      </c>
      <c r="DF18" s="53">
        <v>33.532219600000005</v>
      </c>
      <c r="DG18" s="53">
        <v>46.638726600000005</v>
      </c>
      <c r="DH18" s="53">
        <v>61.875</v>
      </c>
      <c r="DI18" s="53">
        <v>57.207615599999997</v>
      </c>
      <c r="DJ18" s="53">
        <v>48.776037700000003</v>
      </c>
      <c r="DK18" s="53">
        <v>44.609340899999999</v>
      </c>
      <c r="DL18" s="53">
        <v>51.922450300000001</v>
      </c>
      <c r="DM18" s="53">
        <v>54.8461675</v>
      </c>
      <c r="DN18" s="53">
        <v>56.6666667</v>
      </c>
      <c r="DO18" s="53">
        <v>60.7737981</v>
      </c>
      <c r="DP18" s="53">
        <v>61.077586199999999</v>
      </c>
      <c r="DQ18" s="53">
        <v>60.3585657</v>
      </c>
      <c r="DR18" s="53">
        <v>60.460373000000004</v>
      </c>
      <c r="DS18" s="53">
        <v>61.855324799999998</v>
      </c>
      <c r="DT18" s="53">
        <v>61.628360000000001</v>
      </c>
      <c r="DU18" s="53">
        <v>57.004584800000003</v>
      </c>
      <c r="DV18" s="53">
        <v>51.962883699999992</v>
      </c>
      <c r="DW18" s="53">
        <v>37.122807000000002</v>
      </c>
      <c r="DX18" s="53">
        <v>54.899541500000005</v>
      </c>
    </row>
    <row r="19" spans="1:128" x14ac:dyDescent="0.2">
      <c r="A19" s="52">
        <v>15</v>
      </c>
      <c r="B19" s="50" t="s">
        <v>14</v>
      </c>
      <c r="C19" s="155">
        <v>53.581369999999993</v>
      </c>
      <c r="D19" s="155">
        <v>58.250579999999999</v>
      </c>
      <c r="E19" s="155">
        <v>48.471870000000003</v>
      </c>
      <c r="F19" s="155">
        <v>52.058009999999996</v>
      </c>
      <c r="G19" s="155">
        <v>59.313559999999995</v>
      </c>
      <c r="H19" s="53">
        <v>54.838550300000001</v>
      </c>
      <c r="I19" s="53">
        <v>61.986718799999998</v>
      </c>
      <c r="J19" s="151">
        <v>63.317179999999993</v>
      </c>
      <c r="K19" s="151">
        <v>56.119889999999998</v>
      </c>
      <c r="L19" s="151">
        <v>49.057849999999995</v>
      </c>
      <c r="M19" s="151">
        <v>47.038879999999999</v>
      </c>
      <c r="N19" s="151">
        <v>49.858649999999997</v>
      </c>
      <c r="O19" s="151">
        <v>54.789940000000001</v>
      </c>
      <c r="P19" s="151">
        <v>59.679459999999992</v>
      </c>
      <c r="Q19" s="151">
        <v>63.463170000000005</v>
      </c>
      <c r="R19" s="151">
        <v>66.428060000000002</v>
      </c>
      <c r="S19" s="151">
        <v>68.429490000000001</v>
      </c>
      <c r="T19" s="151">
        <v>70.464320000000001</v>
      </c>
      <c r="U19" s="151">
        <v>72.657539999999997</v>
      </c>
      <c r="V19" s="151">
        <v>71.737569999999991</v>
      </c>
      <c r="W19" s="151">
        <v>67.171930000000003</v>
      </c>
      <c r="X19" s="151">
        <v>57.412430000000001</v>
      </c>
      <c r="Y19" s="151">
        <v>36.535640000000001</v>
      </c>
      <c r="Z19" s="152">
        <v>58.250579999999999</v>
      </c>
      <c r="AA19" s="151">
        <v>56.413420000000002</v>
      </c>
      <c r="AB19" s="151">
        <v>47.474080000000001</v>
      </c>
      <c r="AC19" s="151">
        <v>38.847270000000002</v>
      </c>
      <c r="AD19" s="151">
        <v>34.925580000000004</v>
      </c>
      <c r="AE19" s="151">
        <v>36.828749999999999</v>
      </c>
      <c r="AF19" s="151">
        <v>41.443570000000001</v>
      </c>
      <c r="AG19" s="151">
        <v>47.472940000000001</v>
      </c>
      <c r="AH19" s="151">
        <v>52.988590000000002</v>
      </c>
      <c r="AI19" s="151">
        <v>57.242289999999997</v>
      </c>
      <c r="AJ19" s="151">
        <v>61.687729999999995</v>
      </c>
      <c r="AK19" s="151">
        <v>66.620060000000009</v>
      </c>
      <c r="AL19" s="151">
        <v>72.405709999999999</v>
      </c>
      <c r="AM19" s="151">
        <v>74.096080000000001</v>
      </c>
      <c r="AN19" s="151">
        <v>71.765999999999991</v>
      </c>
      <c r="AO19" s="151">
        <v>65.652249999999995</v>
      </c>
      <c r="AP19" s="151">
        <v>47.483139999999999</v>
      </c>
      <c r="AQ19" s="152">
        <v>48.471870000000003</v>
      </c>
      <c r="AR19" s="151">
        <v>59.777199999999993</v>
      </c>
      <c r="AS19" s="151">
        <v>51.73892</v>
      </c>
      <c r="AT19" s="151">
        <v>43.918990000000001</v>
      </c>
      <c r="AU19" s="151">
        <v>40.998620000000003</v>
      </c>
      <c r="AV19" s="151">
        <v>43.461849999999998</v>
      </c>
      <c r="AW19" s="151">
        <v>48.414290000000001</v>
      </c>
      <c r="AX19" s="151">
        <v>53.927279999999996</v>
      </c>
      <c r="AY19" s="151">
        <v>58.547319999999999</v>
      </c>
      <c r="AZ19" s="151">
        <v>62.139760000000003</v>
      </c>
      <c r="BA19" s="151">
        <v>65.309969999999993</v>
      </c>
      <c r="BB19" s="151">
        <v>68.700779999999995</v>
      </c>
      <c r="BC19" s="151">
        <v>72.543700000000001</v>
      </c>
      <c r="BD19" s="151">
        <v>72.805480000000003</v>
      </c>
      <c r="BE19" s="151">
        <v>69.19014</v>
      </c>
      <c r="BF19" s="151">
        <v>60.830759999999998</v>
      </c>
      <c r="BG19" s="151">
        <v>40.539140000000003</v>
      </c>
      <c r="BH19" s="152">
        <v>53.581369999999993</v>
      </c>
      <c r="BI19" s="151">
        <v>58.990790000000004</v>
      </c>
      <c r="BJ19" s="151">
        <v>50.278999999999996</v>
      </c>
      <c r="BK19" s="151">
        <v>42.157440000000001</v>
      </c>
      <c r="BL19" s="151">
        <v>38.609520000000003</v>
      </c>
      <c r="BM19" s="151">
        <v>40.734200000000001</v>
      </c>
      <c r="BN19" s="151">
        <v>45.890909999999998</v>
      </c>
      <c r="BO19" s="151">
        <v>51.753999999999998</v>
      </c>
      <c r="BP19" s="151">
        <v>57.04374</v>
      </c>
      <c r="BQ19" s="151">
        <v>60.753840000000004</v>
      </c>
      <c r="BR19" s="151">
        <v>64.23621</v>
      </c>
      <c r="BS19" s="151">
        <v>67.863990000000001</v>
      </c>
      <c r="BT19" s="151">
        <v>71.876999999999995</v>
      </c>
      <c r="BU19" s="151">
        <v>72.275009999999995</v>
      </c>
      <c r="BV19" s="151">
        <v>68.683669999999992</v>
      </c>
      <c r="BW19" s="151">
        <v>60.343020000000003</v>
      </c>
      <c r="BX19" s="151">
        <v>40.908389999999997</v>
      </c>
      <c r="BY19" s="152">
        <v>52.058009999999996</v>
      </c>
      <c r="BZ19" s="151">
        <v>62.433510000000005</v>
      </c>
      <c r="CA19" s="151">
        <v>56.607430000000001</v>
      </c>
      <c r="CB19" s="151">
        <v>49.823260000000005</v>
      </c>
      <c r="CC19" s="151">
        <v>49.19502</v>
      </c>
      <c r="CD19" s="151">
        <v>52.977379999999997</v>
      </c>
      <c r="CE19" s="151">
        <v>57.321849999999998</v>
      </c>
      <c r="CF19" s="151">
        <v>61.797670000000004</v>
      </c>
      <c r="CG19" s="151">
        <v>64.660330000000002</v>
      </c>
      <c r="CH19" s="151">
        <v>68.161240000000006</v>
      </c>
      <c r="CI19" s="151">
        <v>69.94550000000001</v>
      </c>
      <c r="CJ19" s="151">
        <v>72.459819999999993</v>
      </c>
      <c r="CK19" s="151">
        <v>75.684229999999999</v>
      </c>
      <c r="CL19" s="151">
        <v>75.25385</v>
      </c>
      <c r="CM19" s="151">
        <v>71.265950000000004</v>
      </c>
      <c r="CN19" s="151">
        <v>62.62997</v>
      </c>
      <c r="CO19" s="151">
        <v>39.38655</v>
      </c>
      <c r="CP19" s="152">
        <v>59.313559999999995</v>
      </c>
      <c r="CQ19" s="53">
        <v>58.482418300000006</v>
      </c>
      <c r="CR19" s="53">
        <v>52.0719967</v>
      </c>
      <c r="CS19" s="53">
        <v>46.043843799999998</v>
      </c>
      <c r="CT19" s="53">
        <v>44.108229300000005</v>
      </c>
      <c r="CU19" s="53">
        <v>47.2351022</v>
      </c>
      <c r="CV19" s="53">
        <v>50.596297599999993</v>
      </c>
      <c r="CW19" s="53">
        <v>56.389094999999998</v>
      </c>
      <c r="CX19" s="53">
        <v>59.3762337</v>
      </c>
      <c r="CY19" s="53">
        <v>63.866818000000002</v>
      </c>
      <c r="CZ19" s="53">
        <v>66.069745499999996</v>
      </c>
      <c r="DA19" s="53">
        <v>68.923895299999998</v>
      </c>
      <c r="DB19" s="53">
        <v>71.945433000000008</v>
      </c>
      <c r="DC19" s="53">
        <v>71.213425100000009</v>
      </c>
      <c r="DD19" s="53">
        <v>68.881578899999994</v>
      </c>
      <c r="DE19" s="53">
        <v>59.594882699999999</v>
      </c>
      <c r="DF19" s="53">
        <v>38.499385000000004</v>
      </c>
      <c r="DG19" s="53">
        <v>54.838550300000001</v>
      </c>
      <c r="DH19" s="53">
        <v>64.831513999999999</v>
      </c>
      <c r="DI19" s="53">
        <v>59.325097900000003</v>
      </c>
      <c r="DJ19" s="53">
        <v>51.827208499999998</v>
      </c>
      <c r="DK19" s="53">
        <v>51.959788799999998</v>
      </c>
      <c r="DL19" s="53">
        <v>56.318602399999996</v>
      </c>
      <c r="DM19" s="53">
        <v>61.611650500000003</v>
      </c>
      <c r="DN19" s="53">
        <v>65.397409600000003</v>
      </c>
      <c r="DO19" s="53">
        <v>68.435980600000008</v>
      </c>
      <c r="DP19" s="53">
        <v>71.179393599999997</v>
      </c>
      <c r="DQ19" s="53">
        <v>72.350285200000002</v>
      </c>
      <c r="DR19" s="53">
        <v>74.541213100000007</v>
      </c>
      <c r="DS19" s="53">
        <v>78.017241400000003</v>
      </c>
      <c r="DT19" s="53">
        <v>77.36016570000001</v>
      </c>
      <c r="DU19" s="53">
        <v>72.388349500000004</v>
      </c>
      <c r="DV19" s="53">
        <v>63.942028999999998</v>
      </c>
      <c r="DW19" s="53">
        <v>39.3835616</v>
      </c>
      <c r="DX19" s="53">
        <v>61.986718799999998</v>
      </c>
    </row>
    <row r="20" spans="1:128" x14ac:dyDescent="0.2">
      <c r="A20" s="52">
        <v>16</v>
      </c>
      <c r="B20" s="50" t="s">
        <v>15</v>
      </c>
      <c r="C20" s="155">
        <v>48.290460000000003</v>
      </c>
      <c r="D20" s="155">
        <v>51.982249999999993</v>
      </c>
      <c r="E20" s="155">
        <v>44.30003</v>
      </c>
      <c r="F20" s="155">
        <v>47.606059999999999</v>
      </c>
      <c r="G20" s="155">
        <v>49.111909999999995</v>
      </c>
      <c r="H20" s="53">
        <v>47.721221800000002</v>
      </c>
      <c r="I20" s="53">
        <v>50.252129700000005</v>
      </c>
      <c r="J20" s="151">
        <v>57.126710000000003</v>
      </c>
      <c r="K20" s="151">
        <v>49.228999999999999</v>
      </c>
      <c r="L20" s="151">
        <v>44.573079999999997</v>
      </c>
      <c r="M20" s="151">
        <v>43.121769999999998</v>
      </c>
      <c r="N20" s="151">
        <v>47.634589999999996</v>
      </c>
      <c r="O20" s="151">
        <v>51.88935</v>
      </c>
      <c r="P20" s="151">
        <v>55.317619999999998</v>
      </c>
      <c r="Q20" s="151">
        <v>57.650530000000003</v>
      </c>
      <c r="R20" s="151">
        <v>59.743440000000007</v>
      </c>
      <c r="S20" s="151">
        <v>60.692029999999995</v>
      </c>
      <c r="T20" s="151">
        <v>60.312540000000006</v>
      </c>
      <c r="U20" s="151">
        <v>59.881270000000001</v>
      </c>
      <c r="V20" s="151">
        <v>56.963620000000006</v>
      </c>
      <c r="W20" s="151">
        <v>52.922029999999999</v>
      </c>
      <c r="X20" s="151">
        <v>41.588630000000002</v>
      </c>
      <c r="Y20" s="151">
        <v>25.726159999999997</v>
      </c>
      <c r="Z20" s="152">
        <v>51.982249999999993</v>
      </c>
      <c r="AA20" s="151">
        <v>52.177609999999994</v>
      </c>
      <c r="AB20" s="151">
        <v>43.262450000000001</v>
      </c>
      <c r="AC20" s="151">
        <v>35.029650000000004</v>
      </c>
      <c r="AD20" s="151">
        <v>31.965139999999998</v>
      </c>
      <c r="AE20" s="151">
        <v>36.249959999999994</v>
      </c>
      <c r="AF20" s="151">
        <v>40.470170000000003</v>
      </c>
      <c r="AG20" s="151">
        <v>44.661949999999997</v>
      </c>
      <c r="AH20" s="151">
        <v>49.590849999999996</v>
      </c>
      <c r="AI20" s="151">
        <v>51.220089999999999</v>
      </c>
      <c r="AJ20" s="151">
        <v>54.42642</v>
      </c>
      <c r="AK20" s="151">
        <v>57.494460000000004</v>
      </c>
      <c r="AL20" s="151">
        <v>58.84686</v>
      </c>
      <c r="AM20" s="151">
        <v>60.103169999999992</v>
      </c>
      <c r="AN20" s="151">
        <v>58.041889999999995</v>
      </c>
      <c r="AO20" s="151">
        <v>50.592869999999998</v>
      </c>
      <c r="AP20" s="151">
        <v>35.124860000000005</v>
      </c>
      <c r="AQ20" s="152">
        <v>44.30003</v>
      </c>
      <c r="AR20" s="151">
        <v>54.607030000000002</v>
      </c>
      <c r="AS20" s="151">
        <v>46.271839999999997</v>
      </c>
      <c r="AT20" s="151">
        <v>39.890209999999996</v>
      </c>
      <c r="AU20" s="151">
        <v>37.540279999999996</v>
      </c>
      <c r="AV20" s="151">
        <v>42.141480000000001</v>
      </c>
      <c r="AW20" s="151">
        <v>46.361049999999999</v>
      </c>
      <c r="AX20" s="151">
        <v>50.16921</v>
      </c>
      <c r="AY20" s="151">
        <v>53.773890000000002</v>
      </c>
      <c r="AZ20" s="151">
        <v>55.779559999999996</v>
      </c>
      <c r="BA20" s="151">
        <v>57.777429999999995</v>
      </c>
      <c r="BB20" s="151">
        <v>59.000149999999998</v>
      </c>
      <c r="BC20" s="151">
        <v>59.39152</v>
      </c>
      <c r="BD20" s="151">
        <v>58.44576</v>
      </c>
      <c r="BE20" s="151">
        <v>55.338949999999997</v>
      </c>
      <c r="BF20" s="151">
        <v>45.688450000000003</v>
      </c>
      <c r="BG20" s="151">
        <v>29.83174</v>
      </c>
      <c r="BH20" s="152">
        <v>48.290460000000003</v>
      </c>
      <c r="BI20" s="151">
        <v>53.652469999999994</v>
      </c>
      <c r="BJ20" s="151">
        <v>44.630679999999998</v>
      </c>
      <c r="BK20" s="151">
        <v>38.755389999999998</v>
      </c>
      <c r="BL20" s="151">
        <v>35.914810000000003</v>
      </c>
      <c r="BM20" s="151">
        <v>40.623169999999995</v>
      </c>
      <c r="BN20" s="151">
        <v>44.756050000000002</v>
      </c>
      <c r="BO20" s="151">
        <v>48.53745</v>
      </c>
      <c r="BP20" s="151">
        <v>52.342409999999994</v>
      </c>
      <c r="BQ20" s="151">
        <v>55.440529999999995</v>
      </c>
      <c r="BR20" s="151">
        <v>57.964990000000007</v>
      </c>
      <c r="BS20" s="151">
        <v>59.877860000000005</v>
      </c>
      <c r="BT20" s="151">
        <v>60.482849999999999</v>
      </c>
      <c r="BU20" s="151">
        <v>59.666019999999996</v>
      </c>
      <c r="BV20" s="151">
        <v>54.987690000000001</v>
      </c>
      <c r="BW20" s="151">
        <v>45.547249999999998</v>
      </c>
      <c r="BX20" s="151">
        <v>28.812070000000002</v>
      </c>
      <c r="BY20" s="152">
        <v>47.606059999999999</v>
      </c>
      <c r="BZ20" s="151">
        <v>55.760220000000004</v>
      </c>
      <c r="CA20" s="151">
        <v>48.259450000000001</v>
      </c>
      <c r="CB20" s="151">
        <v>41.205539999999999</v>
      </c>
      <c r="CC20" s="151">
        <v>39.422960000000003</v>
      </c>
      <c r="CD20" s="151">
        <v>43.961739999999999</v>
      </c>
      <c r="CE20" s="151">
        <v>48.246679999999998</v>
      </c>
      <c r="CF20" s="151">
        <v>52.076049999999995</v>
      </c>
      <c r="CG20" s="151">
        <v>55.482209999999995</v>
      </c>
      <c r="CH20" s="151">
        <v>56.211440000000003</v>
      </c>
      <c r="CI20" s="151">
        <v>57.524299999999997</v>
      </c>
      <c r="CJ20" s="151">
        <v>57.845400000000005</v>
      </c>
      <c r="CK20" s="151">
        <v>57.954760000000007</v>
      </c>
      <c r="CL20" s="151">
        <v>56.940660000000001</v>
      </c>
      <c r="CM20" s="151">
        <v>55.733049999999992</v>
      </c>
      <c r="CN20" s="151">
        <v>45.82976</v>
      </c>
      <c r="CO20" s="151">
        <v>30.773970000000002</v>
      </c>
      <c r="CP20" s="152">
        <v>49.111909999999995</v>
      </c>
      <c r="CQ20" s="53">
        <v>53.954802300000004</v>
      </c>
      <c r="CR20" s="53">
        <v>46.9375</v>
      </c>
      <c r="CS20" s="53">
        <v>39.187314200000003</v>
      </c>
      <c r="CT20" s="53">
        <v>37.884449599999996</v>
      </c>
      <c r="CU20" s="53">
        <v>42.317721900000002</v>
      </c>
      <c r="CV20" s="53">
        <v>46.929977899999997</v>
      </c>
      <c r="CW20" s="53">
        <v>50.687870799999999</v>
      </c>
      <c r="CX20" s="53">
        <v>53.215906099999998</v>
      </c>
      <c r="CY20" s="53">
        <v>55.102040799999997</v>
      </c>
      <c r="CZ20" s="53">
        <v>56.796487200000001</v>
      </c>
      <c r="DA20" s="53">
        <v>58.258672199999992</v>
      </c>
      <c r="DB20" s="53">
        <v>57.353827599999995</v>
      </c>
      <c r="DC20" s="53">
        <v>55.707584099999998</v>
      </c>
      <c r="DD20" s="53">
        <v>54.180238899999999</v>
      </c>
      <c r="DE20" s="53">
        <v>44.615384599999999</v>
      </c>
      <c r="DF20" s="53">
        <v>31.361867700000001</v>
      </c>
      <c r="DG20" s="53">
        <v>47.721221800000002</v>
      </c>
      <c r="DH20" s="53">
        <v>57.326892100000002</v>
      </c>
      <c r="DI20" s="53">
        <v>49.7306034</v>
      </c>
      <c r="DJ20" s="53">
        <v>42.910710099999996</v>
      </c>
      <c r="DK20" s="53">
        <v>40.705765399999997</v>
      </c>
      <c r="DL20" s="53">
        <v>45.548172799999996</v>
      </c>
      <c r="DM20" s="53">
        <v>49.5233645</v>
      </c>
      <c r="DN20" s="53">
        <v>53.290480600000002</v>
      </c>
      <c r="DO20" s="53">
        <v>57.333757599999998</v>
      </c>
      <c r="DP20" s="53">
        <v>57.142857100000001</v>
      </c>
      <c r="DQ20" s="53">
        <v>58.246910100000008</v>
      </c>
      <c r="DR20" s="53">
        <v>57.497549800000002</v>
      </c>
      <c r="DS20" s="53">
        <v>58.334958100000001</v>
      </c>
      <c r="DT20" s="53">
        <v>57.722419899999998</v>
      </c>
      <c r="DU20" s="53">
        <v>56.660293199999998</v>
      </c>
      <c r="DV20" s="53">
        <v>46.274343800000004</v>
      </c>
      <c r="DW20" s="53">
        <v>30.550136599999998</v>
      </c>
      <c r="DX20" s="53">
        <v>50.252129700000005</v>
      </c>
    </row>
    <row r="21" spans="1:128" x14ac:dyDescent="0.2">
      <c r="A21" s="52">
        <v>17</v>
      </c>
      <c r="B21" s="50" t="s">
        <v>16</v>
      </c>
      <c r="C21" s="155">
        <v>52.344230000000003</v>
      </c>
      <c r="D21" s="155">
        <v>56.119149999999998</v>
      </c>
      <c r="E21" s="155">
        <v>48.183599999999998</v>
      </c>
      <c r="F21" s="155">
        <v>51.006349999999998</v>
      </c>
      <c r="G21" s="155">
        <v>56.317410000000002</v>
      </c>
      <c r="H21" s="53">
        <v>54.495353000000001</v>
      </c>
      <c r="I21" s="53">
        <v>62.112000000000002</v>
      </c>
      <c r="J21" s="151">
        <v>60.750030000000002</v>
      </c>
      <c r="K21" s="151">
        <v>53.621189999999999</v>
      </c>
      <c r="L21" s="151">
        <v>47.051569999999998</v>
      </c>
      <c r="M21" s="151">
        <v>45.2744</v>
      </c>
      <c r="N21" s="151">
        <v>49.656040000000004</v>
      </c>
      <c r="O21" s="151">
        <v>53.555339999999994</v>
      </c>
      <c r="P21" s="151">
        <v>58.32855</v>
      </c>
      <c r="Q21" s="151">
        <v>61.462720000000004</v>
      </c>
      <c r="R21" s="151">
        <v>64.254199999999997</v>
      </c>
      <c r="S21" s="151">
        <v>65.385909999999996</v>
      </c>
      <c r="T21" s="151">
        <v>66.20326</v>
      </c>
      <c r="U21" s="151">
        <v>67.686909999999997</v>
      </c>
      <c r="V21" s="151">
        <v>65.426090000000002</v>
      </c>
      <c r="W21" s="151">
        <v>60.516990000000007</v>
      </c>
      <c r="X21" s="151">
        <v>53.410230000000006</v>
      </c>
      <c r="Y21" s="151">
        <v>33.566499999999998</v>
      </c>
      <c r="Z21" s="152">
        <v>56.119149999999998</v>
      </c>
      <c r="AA21" s="151">
        <v>54.1614</v>
      </c>
      <c r="AB21" s="151">
        <v>47.143069999999994</v>
      </c>
      <c r="AC21" s="151">
        <v>37.907180000000004</v>
      </c>
      <c r="AD21" s="151">
        <v>35.761569999999999</v>
      </c>
      <c r="AE21" s="151">
        <v>38.70823</v>
      </c>
      <c r="AF21" s="151">
        <v>41.570720000000001</v>
      </c>
      <c r="AG21" s="151">
        <v>47.147550000000003</v>
      </c>
      <c r="AH21" s="151">
        <v>51.432929999999999</v>
      </c>
      <c r="AI21" s="151">
        <v>55.649450000000002</v>
      </c>
      <c r="AJ21" s="151">
        <v>60.494060000000005</v>
      </c>
      <c r="AK21" s="151">
        <v>63.161059999999999</v>
      </c>
      <c r="AL21" s="151">
        <v>67.043040000000005</v>
      </c>
      <c r="AM21" s="151">
        <v>70.156800000000004</v>
      </c>
      <c r="AN21" s="151">
        <v>64.961569999999995</v>
      </c>
      <c r="AO21" s="151">
        <v>58.990459999999999</v>
      </c>
      <c r="AP21" s="151">
        <v>41.007280000000002</v>
      </c>
      <c r="AQ21" s="152">
        <v>48.183599999999998</v>
      </c>
      <c r="AR21" s="151">
        <v>57.495430000000006</v>
      </c>
      <c r="AS21" s="151">
        <v>50.41451</v>
      </c>
      <c r="AT21" s="151">
        <v>42.533459999999998</v>
      </c>
      <c r="AU21" s="151">
        <v>40.538679999999999</v>
      </c>
      <c r="AV21" s="151">
        <v>44.380240000000001</v>
      </c>
      <c r="AW21" s="151">
        <v>47.786070000000002</v>
      </c>
      <c r="AX21" s="151">
        <v>53.056829999999998</v>
      </c>
      <c r="AY21" s="151">
        <v>56.692520000000002</v>
      </c>
      <c r="AZ21" s="151">
        <v>60.302</v>
      </c>
      <c r="BA21" s="151">
        <v>63.145850000000003</v>
      </c>
      <c r="BB21" s="151">
        <v>64.809060000000002</v>
      </c>
      <c r="BC21" s="151">
        <v>67.385199999999998</v>
      </c>
      <c r="BD21" s="151">
        <v>67.614640000000009</v>
      </c>
      <c r="BE21" s="151">
        <v>62.533839999999998</v>
      </c>
      <c r="BF21" s="151">
        <v>55.872889999999998</v>
      </c>
      <c r="BG21" s="151">
        <v>36.584870000000002</v>
      </c>
      <c r="BH21" s="152">
        <v>52.344230000000003</v>
      </c>
      <c r="BI21" s="151">
        <v>56.689950000000003</v>
      </c>
      <c r="BJ21" s="151">
        <v>49.076149999999998</v>
      </c>
      <c r="BK21" s="151">
        <v>40.40813</v>
      </c>
      <c r="BL21" s="151">
        <v>38.349509999999995</v>
      </c>
      <c r="BM21" s="151">
        <v>42.167749999999998</v>
      </c>
      <c r="BN21" s="151">
        <v>45.877920000000003</v>
      </c>
      <c r="BO21" s="151">
        <v>51.727209999999999</v>
      </c>
      <c r="BP21" s="151">
        <v>55.894330000000004</v>
      </c>
      <c r="BQ21" s="151">
        <v>59.119169999999997</v>
      </c>
      <c r="BR21" s="151">
        <v>62.121800000000007</v>
      </c>
      <c r="BS21" s="151">
        <v>63.976590000000002</v>
      </c>
      <c r="BT21" s="151">
        <v>67.025100000000009</v>
      </c>
      <c r="BU21" s="151">
        <v>67.404679999999999</v>
      </c>
      <c r="BV21" s="151">
        <v>62.584769999999999</v>
      </c>
      <c r="BW21" s="151">
        <v>55.470200000000006</v>
      </c>
      <c r="BX21" s="151">
        <v>35.80659</v>
      </c>
      <c r="BY21" s="152">
        <v>51.006349999999998</v>
      </c>
      <c r="BZ21" s="151">
        <v>59.520810000000004</v>
      </c>
      <c r="CA21" s="151">
        <v>53.997969999999995</v>
      </c>
      <c r="CB21" s="151">
        <v>48.231949999999998</v>
      </c>
      <c r="CC21" s="151">
        <v>46.70055</v>
      </c>
      <c r="CD21" s="151">
        <v>51.110799999999998</v>
      </c>
      <c r="CE21" s="151">
        <v>53.579920000000001</v>
      </c>
      <c r="CF21" s="151">
        <v>56.990830000000003</v>
      </c>
      <c r="CG21" s="151">
        <v>58.991139999999994</v>
      </c>
      <c r="CH21" s="151">
        <v>63.951679999999996</v>
      </c>
      <c r="CI21" s="151">
        <v>66.266860000000008</v>
      </c>
      <c r="CJ21" s="151">
        <v>67.465990000000005</v>
      </c>
      <c r="CK21" s="151">
        <v>68.535629999999998</v>
      </c>
      <c r="CL21" s="151">
        <v>68.264470000000003</v>
      </c>
      <c r="CM21" s="151">
        <v>62.354549999999996</v>
      </c>
      <c r="CN21" s="151">
        <v>57.242440000000002</v>
      </c>
      <c r="CO21" s="151">
        <v>39.317509999999999</v>
      </c>
      <c r="CP21" s="152">
        <v>56.317410000000002</v>
      </c>
      <c r="CQ21" s="53">
        <v>58.730158700000004</v>
      </c>
      <c r="CR21" s="53">
        <v>51.196172199999999</v>
      </c>
      <c r="CS21" s="53">
        <v>46.381663699999997</v>
      </c>
      <c r="CT21" s="53">
        <v>44.370007700000002</v>
      </c>
      <c r="CU21" s="53">
        <v>49.139520599999997</v>
      </c>
      <c r="CV21" s="53">
        <v>52.088205799999997</v>
      </c>
      <c r="CW21" s="53">
        <v>55.239099899999999</v>
      </c>
      <c r="CX21" s="53">
        <v>57.437150800000005</v>
      </c>
      <c r="CY21" s="53">
        <v>61.749788699999996</v>
      </c>
      <c r="CZ21" s="53">
        <v>64.956855199999993</v>
      </c>
      <c r="DA21" s="53">
        <v>65.695981400000008</v>
      </c>
      <c r="DB21" s="53">
        <v>67.854435199999998</v>
      </c>
      <c r="DC21" s="53">
        <v>66.528925599999994</v>
      </c>
      <c r="DD21" s="53">
        <v>59.046052599999996</v>
      </c>
      <c r="DE21" s="53">
        <v>54.207920799999997</v>
      </c>
      <c r="DF21" s="53">
        <v>39.193083600000001</v>
      </c>
      <c r="DG21" s="53">
        <v>54.495353000000001</v>
      </c>
      <c r="DH21" s="53">
        <v>62.7272727</v>
      </c>
      <c r="DI21" s="53">
        <v>62.085308100000006</v>
      </c>
      <c r="DJ21" s="53">
        <v>54.455445499999996</v>
      </c>
      <c r="DK21" s="53">
        <v>53.727714699999993</v>
      </c>
      <c r="DL21" s="53">
        <v>57.418699199999999</v>
      </c>
      <c r="DM21" s="53">
        <v>58.2869855</v>
      </c>
      <c r="DN21" s="53">
        <v>62.5866051</v>
      </c>
      <c r="DO21" s="53">
        <v>64.142011799999992</v>
      </c>
      <c r="DP21" s="53">
        <v>71.470160100000001</v>
      </c>
      <c r="DQ21" s="53">
        <v>70.409711700000003</v>
      </c>
      <c r="DR21" s="53">
        <v>73.307543500000008</v>
      </c>
      <c r="DS21" s="53">
        <v>70.574162700000002</v>
      </c>
      <c r="DT21" s="53">
        <v>73.156342199999997</v>
      </c>
      <c r="DU21" s="53">
        <v>71.300448400000008</v>
      </c>
      <c r="DV21" s="53">
        <v>65.540540500000006</v>
      </c>
      <c r="DW21" s="53">
        <v>39.516128999999999</v>
      </c>
      <c r="DX21" s="53">
        <v>62.112000000000002</v>
      </c>
    </row>
    <row r="22" spans="1:128" x14ac:dyDescent="0.2">
      <c r="A22" s="52">
        <v>18</v>
      </c>
      <c r="B22" s="50" t="s">
        <v>17</v>
      </c>
      <c r="C22" s="155">
        <v>52.747189999999996</v>
      </c>
      <c r="D22" s="155">
        <v>57.415249999999993</v>
      </c>
      <c r="E22" s="155">
        <v>47.942839999999997</v>
      </c>
      <c r="F22" s="155">
        <v>53.085380000000001</v>
      </c>
      <c r="G22" s="155">
        <v>52.104660000000003</v>
      </c>
      <c r="H22" s="53">
        <v>45.129365200000002</v>
      </c>
      <c r="I22" s="53">
        <v>58.694201100000001</v>
      </c>
      <c r="J22" s="151">
        <v>59.512819999999998</v>
      </c>
      <c r="K22" s="151">
        <v>51.679540000000003</v>
      </c>
      <c r="L22" s="151">
        <v>45.38458</v>
      </c>
      <c r="M22" s="151">
        <v>47.180590000000002</v>
      </c>
      <c r="N22" s="151">
        <v>52.480930000000001</v>
      </c>
      <c r="O22" s="151">
        <v>55.079809999999995</v>
      </c>
      <c r="P22" s="151">
        <v>60.10145</v>
      </c>
      <c r="Q22" s="151">
        <v>63.86938</v>
      </c>
      <c r="R22" s="151">
        <v>65.151409999999998</v>
      </c>
      <c r="S22" s="151">
        <v>67.576899999999995</v>
      </c>
      <c r="T22" s="151">
        <v>68.15025</v>
      </c>
      <c r="U22" s="151">
        <v>68.528599999999997</v>
      </c>
      <c r="V22" s="151">
        <v>64.820040000000006</v>
      </c>
      <c r="W22" s="151">
        <v>62.516959999999997</v>
      </c>
      <c r="X22" s="151">
        <v>53.394710000000003</v>
      </c>
      <c r="Y22" s="151">
        <v>34.015060000000005</v>
      </c>
      <c r="Z22" s="152">
        <v>57.415249999999993</v>
      </c>
      <c r="AA22" s="151">
        <v>52.065010000000001</v>
      </c>
      <c r="AB22" s="151">
        <v>42.707509999999999</v>
      </c>
      <c r="AC22" s="151">
        <v>35.195419999999999</v>
      </c>
      <c r="AD22" s="151">
        <v>32.975020000000001</v>
      </c>
      <c r="AE22" s="151">
        <v>39.335140000000003</v>
      </c>
      <c r="AF22" s="151">
        <v>42.331089999999996</v>
      </c>
      <c r="AG22" s="151">
        <v>46.797809999999998</v>
      </c>
      <c r="AH22" s="151">
        <v>52.284080000000003</v>
      </c>
      <c r="AI22" s="151">
        <v>54.831389999999999</v>
      </c>
      <c r="AJ22" s="151">
        <v>60.093529999999994</v>
      </c>
      <c r="AK22" s="151">
        <v>62.831499999999998</v>
      </c>
      <c r="AL22" s="151">
        <v>67.766300000000001</v>
      </c>
      <c r="AM22" s="151">
        <v>67.517570000000006</v>
      </c>
      <c r="AN22" s="151">
        <v>66.515239999999991</v>
      </c>
      <c r="AO22" s="151">
        <v>58.016409999999993</v>
      </c>
      <c r="AP22" s="151">
        <v>43.868380000000002</v>
      </c>
      <c r="AQ22" s="152">
        <v>47.942839999999997</v>
      </c>
      <c r="AR22" s="151">
        <v>55.774710000000006</v>
      </c>
      <c r="AS22" s="151">
        <v>47.058169999999997</v>
      </c>
      <c r="AT22" s="151">
        <v>40.325470000000003</v>
      </c>
      <c r="AU22" s="151">
        <v>39.959960000000002</v>
      </c>
      <c r="AV22" s="151">
        <v>45.947569999999999</v>
      </c>
      <c r="AW22" s="151">
        <v>48.826190000000004</v>
      </c>
      <c r="AX22" s="151">
        <v>53.526409999999998</v>
      </c>
      <c r="AY22" s="151">
        <v>57.998490000000004</v>
      </c>
      <c r="AZ22" s="151">
        <v>60.13505</v>
      </c>
      <c r="BA22" s="151">
        <v>63.940269999999998</v>
      </c>
      <c r="BB22" s="151">
        <v>65.628479999999996</v>
      </c>
      <c r="BC22" s="151">
        <v>68.161590000000004</v>
      </c>
      <c r="BD22" s="151">
        <v>66.148620000000008</v>
      </c>
      <c r="BE22" s="151">
        <v>64.408569999999997</v>
      </c>
      <c r="BF22" s="151">
        <v>55.596760000000003</v>
      </c>
      <c r="BG22" s="151">
        <v>38.289059999999999</v>
      </c>
      <c r="BH22" s="152">
        <v>52.747189999999996</v>
      </c>
      <c r="BI22" s="151">
        <v>56.327859999999994</v>
      </c>
      <c r="BJ22" s="151">
        <v>47.365749999999998</v>
      </c>
      <c r="BK22" s="151">
        <v>40.524500000000003</v>
      </c>
      <c r="BL22" s="151">
        <v>39.272649999999999</v>
      </c>
      <c r="BM22" s="151">
        <v>45.92286</v>
      </c>
      <c r="BN22" s="151">
        <v>48.654969999999999</v>
      </c>
      <c r="BO22" s="151">
        <v>53.456720000000004</v>
      </c>
      <c r="BP22" s="151">
        <v>57.346799999999995</v>
      </c>
      <c r="BQ22" s="151">
        <v>60.566790000000005</v>
      </c>
      <c r="BR22" s="151">
        <v>63.934719999999999</v>
      </c>
      <c r="BS22" s="151">
        <v>67.611559999999997</v>
      </c>
      <c r="BT22" s="151">
        <v>68.413710000000009</v>
      </c>
      <c r="BU22" s="151">
        <v>67.610340000000008</v>
      </c>
      <c r="BV22" s="151">
        <v>66.380390000000006</v>
      </c>
      <c r="BW22" s="151">
        <v>55.446510000000004</v>
      </c>
      <c r="BX22" s="151">
        <v>39.837760000000003</v>
      </c>
      <c r="BY22" s="152">
        <v>53.085380000000001</v>
      </c>
      <c r="BZ22" s="151">
        <v>54.339689999999997</v>
      </c>
      <c r="CA22" s="151">
        <v>46.346540000000005</v>
      </c>
      <c r="CB22" s="151">
        <v>39.959040000000002</v>
      </c>
      <c r="CC22" s="151">
        <v>41.200589999999998</v>
      </c>
      <c r="CD22" s="151">
        <v>45.991769999999995</v>
      </c>
      <c r="CE22" s="151">
        <v>49.135570000000001</v>
      </c>
      <c r="CF22" s="151">
        <v>53.658099999999997</v>
      </c>
      <c r="CG22" s="151">
        <v>59.223489999999998</v>
      </c>
      <c r="CH22" s="151">
        <v>59.298910000000006</v>
      </c>
      <c r="CI22" s="151">
        <v>63.951559999999994</v>
      </c>
      <c r="CJ22" s="151">
        <v>61.307429999999997</v>
      </c>
      <c r="CK22" s="151">
        <v>67.609629999999996</v>
      </c>
      <c r="CL22" s="151">
        <v>63.255760000000002</v>
      </c>
      <c r="CM22" s="151">
        <v>60.866799999999998</v>
      </c>
      <c r="CN22" s="151">
        <v>55.857089999999999</v>
      </c>
      <c r="CO22" s="151">
        <v>36.046329999999998</v>
      </c>
      <c r="CP22" s="152">
        <v>52.104660000000003</v>
      </c>
      <c r="CQ22" s="53">
        <v>50.273224000000006</v>
      </c>
      <c r="CR22" s="53">
        <v>34.716981099999998</v>
      </c>
      <c r="CS22" s="53">
        <v>33.427283000000003</v>
      </c>
      <c r="CT22" s="53">
        <v>34.945930600000004</v>
      </c>
      <c r="CU22" s="53">
        <v>38.653084300000003</v>
      </c>
      <c r="CV22" s="53">
        <v>42.925089200000002</v>
      </c>
      <c r="CW22" s="53">
        <v>46.864463899999997</v>
      </c>
      <c r="CX22" s="53">
        <v>52.377240800000003</v>
      </c>
      <c r="CY22" s="53">
        <v>53.567937399999998</v>
      </c>
      <c r="CZ22" s="53">
        <v>59.601873500000004</v>
      </c>
      <c r="DA22" s="53">
        <v>57.296466999999993</v>
      </c>
      <c r="DB22" s="53">
        <v>62.448132800000003</v>
      </c>
      <c r="DC22" s="53">
        <v>57.024793399999993</v>
      </c>
      <c r="DD22" s="53">
        <v>57.028112399999998</v>
      </c>
      <c r="DE22" s="53">
        <v>53.409090900000002</v>
      </c>
      <c r="DF22" s="53">
        <v>30.5194805</v>
      </c>
      <c r="DG22" s="53">
        <v>45.129365200000002</v>
      </c>
      <c r="DH22" s="53">
        <v>61.578947399999997</v>
      </c>
      <c r="DI22" s="53">
        <v>58.045977000000008</v>
      </c>
      <c r="DJ22" s="53">
        <v>47.635658900000003</v>
      </c>
      <c r="DK22" s="53">
        <v>47.659574500000005</v>
      </c>
      <c r="DL22" s="53">
        <v>54.016393399999998</v>
      </c>
      <c r="DM22" s="53">
        <v>57.635933800000004</v>
      </c>
      <c r="DN22" s="53">
        <v>61.388074299999992</v>
      </c>
      <c r="DO22" s="53">
        <v>65.510948900000002</v>
      </c>
      <c r="DP22" s="53">
        <v>64.8565574</v>
      </c>
      <c r="DQ22" s="53">
        <v>67.7856302</v>
      </c>
      <c r="DR22" s="53">
        <v>64.795564800000008</v>
      </c>
      <c r="DS22" s="53">
        <v>70.545158700000002</v>
      </c>
      <c r="DT22" s="53">
        <v>67.234468899999996</v>
      </c>
      <c r="DU22" s="53">
        <v>63.5916359</v>
      </c>
      <c r="DV22" s="53">
        <v>57.726465400000002</v>
      </c>
      <c r="DW22" s="53">
        <v>39.779005499999997</v>
      </c>
      <c r="DX22" s="53">
        <v>58.694201100000001</v>
      </c>
    </row>
    <row r="23" spans="1:128" x14ac:dyDescent="0.2">
      <c r="A23" s="52">
        <v>19</v>
      </c>
      <c r="B23" s="50" t="s">
        <v>18</v>
      </c>
      <c r="C23" s="155">
        <v>50.478029999999997</v>
      </c>
      <c r="D23" s="155">
        <v>54.173910000000006</v>
      </c>
      <c r="E23" s="155">
        <v>46.783570000000005</v>
      </c>
      <c r="F23" s="155">
        <v>50.809760000000004</v>
      </c>
      <c r="G23" s="155">
        <v>48.295230000000004</v>
      </c>
      <c r="H23" s="53">
        <v>43.502079700000003</v>
      </c>
      <c r="I23" s="53">
        <v>54.137812500000003</v>
      </c>
      <c r="J23" s="151">
        <v>56.288269999999997</v>
      </c>
      <c r="K23" s="151">
        <v>50.182980000000001</v>
      </c>
      <c r="L23" s="151">
        <v>44.85181</v>
      </c>
      <c r="M23" s="151">
        <v>42.541710000000002</v>
      </c>
      <c r="N23" s="151">
        <v>45.915640000000003</v>
      </c>
      <c r="O23" s="151">
        <v>51.214150000000004</v>
      </c>
      <c r="P23" s="151">
        <v>55.76728</v>
      </c>
      <c r="Q23" s="151">
        <v>60.366470000000007</v>
      </c>
      <c r="R23" s="151">
        <v>63.492599999999996</v>
      </c>
      <c r="S23" s="151">
        <v>64.409030000000001</v>
      </c>
      <c r="T23" s="151">
        <v>67.895769999999999</v>
      </c>
      <c r="U23" s="151">
        <v>68.438590000000005</v>
      </c>
      <c r="V23" s="151">
        <v>64.884230000000002</v>
      </c>
      <c r="W23" s="151">
        <v>58.030619999999999</v>
      </c>
      <c r="X23" s="151">
        <v>46.767019999999995</v>
      </c>
      <c r="Y23" s="151">
        <v>28.866940000000003</v>
      </c>
      <c r="Z23" s="152">
        <v>54.173910000000006</v>
      </c>
      <c r="AA23" s="151">
        <v>52.875499999999995</v>
      </c>
      <c r="AB23" s="151">
        <v>44.654200000000003</v>
      </c>
      <c r="AC23" s="151">
        <v>37.85089</v>
      </c>
      <c r="AD23" s="151">
        <v>34.808970000000002</v>
      </c>
      <c r="AE23" s="151">
        <v>36.89385</v>
      </c>
      <c r="AF23" s="151">
        <v>40.643430000000002</v>
      </c>
      <c r="AG23" s="151">
        <v>45.705880000000001</v>
      </c>
      <c r="AH23" s="151">
        <v>51.037860000000002</v>
      </c>
      <c r="AI23" s="151">
        <v>56.13252</v>
      </c>
      <c r="AJ23" s="151">
        <v>58.832010000000004</v>
      </c>
      <c r="AK23" s="151">
        <v>63.096919999999997</v>
      </c>
      <c r="AL23" s="151">
        <v>65.713729999999998</v>
      </c>
      <c r="AM23" s="151">
        <v>66.220659999999995</v>
      </c>
      <c r="AN23" s="151">
        <v>61.893120000000003</v>
      </c>
      <c r="AO23" s="151">
        <v>55.306409999999993</v>
      </c>
      <c r="AP23" s="151">
        <v>37.212420000000002</v>
      </c>
      <c r="AQ23" s="152">
        <v>46.783570000000005</v>
      </c>
      <c r="AR23" s="151">
        <v>54.575549999999993</v>
      </c>
      <c r="AS23" s="151">
        <v>47.40014</v>
      </c>
      <c r="AT23" s="151">
        <v>41.255699999999997</v>
      </c>
      <c r="AU23" s="151">
        <v>38.525890000000004</v>
      </c>
      <c r="AV23" s="151">
        <v>41.251010000000001</v>
      </c>
      <c r="AW23" s="151">
        <v>45.829920000000001</v>
      </c>
      <c r="AX23" s="151">
        <v>50.629690000000004</v>
      </c>
      <c r="AY23" s="151">
        <v>55.673039999999993</v>
      </c>
      <c r="AZ23" s="151">
        <v>59.842169999999996</v>
      </c>
      <c r="BA23" s="151">
        <v>61.699459999999995</v>
      </c>
      <c r="BB23" s="151">
        <v>65.601140000000001</v>
      </c>
      <c r="BC23" s="151">
        <v>67.15970999999999</v>
      </c>
      <c r="BD23" s="151">
        <v>65.505589999999998</v>
      </c>
      <c r="BE23" s="151">
        <v>59.730809999999998</v>
      </c>
      <c r="BF23" s="151">
        <v>50.45317</v>
      </c>
      <c r="BG23" s="151">
        <v>32.182389999999998</v>
      </c>
      <c r="BH23" s="152">
        <v>50.478029999999997</v>
      </c>
      <c r="BI23" s="151">
        <v>55.175739999999998</v>
      </c>
      <c r="BJ23" s="151">
        <v>47.944160000000004</v>
      </c>
      <c r="BK23" s="151">
        <v>41.646619999999999</v>
      </c>
      <c r="BL23" s="151">
        <v>38.656390000000002</v>
      </c>
      <c r="BM23" s="151">
        <v>41.427309999999999</v>
      </c>
      <c r="BN23" s="151">
        <v>46.083730000000003</v>
      </c>
      <c r="BO23" s="151">
        <v>50.747189999999996</v>
      </c>
      <c r="BP23" s="151">
        <v>55.855109999999996</v>
      </c>
      <c r="BQ23" s="151">
        <v>60.145139999999998</v>
      </c>
      <c r="BR23" s="151">
        <v>61.736190000000001</v>
      </c>
      <c r="BS23" s="151">
        <v>65.870980000000003</v>
      </c>
      <c r="BT23" s="151">
        <v>67.418229999999994</v>
      </c>
      <c r="BU23" s="151">
        <v>65.74421000000001</v>
      </c>
      <c r="BV23" s="151">
        <v>59.606740000000002</v>
      </c>
      <c r="BW23" s="151">
        <v>50.329529999999998</v>
      </c>
      <c r="BX23" s="151">
        <v>31.363900000000001</v>
      </c>
      <c r="BY23" s="152">
        <v>50.809760000000004</v>
      </c>
      <c r="BZ23" s="151">
        <v>50.967439999999996</v>
      </c>
      <c r="CA23" s="151">
        <v>44.230599999999995</v>
      </c>
      <c r="CB23" s="151">
        <v>38.778869999999998</v>
      </c>
      <c r="CC23" s="151">
        <v>37.72775</v>
      </c>
      <c r="CD23" s="151">
        <v>40.206029999999998</v>
      </c>
      <c r="CE23" s="151">
        <v>44.253239999999998</v>
      </c>
      <c r="CF23" s="151">
        <v>49.889949999999999</v>
      </c>
      <c r="CG23" s="151">
        <v>54.427579999999999</v>
      </c>
      <c r="CH23" s="151">
        <v>57.620079999999994</v>
      </c>
      <c r="CI23" s="151">
        <v>61.412169999999996</v>
      </c>
      <c r="CJ23" s="151">
        <v>63.366399999999999</v>
      </c>
      <c r="CK23" s="151">
        <v>64.925280000000001</v>
      </c>
      <c r="CL23" s="151">
        <v>63.742390000000007</v>
      </c>
      <c r="CM23" s="151">
        <v>60.53725</v>
      </c>
      <c r="CN23" s="151">
        <v>51.059540000000005</v>
      </c>
      <c r="CO23" s="151">
        <v>36.112369999999999</v>
      </c>
      <c r="CP23" s="152">
        <v>48.295230000000004</v>
      </c>
      <c r="CQ23" s="53">
        <v>45.629629600000001</v>
      </c>
      <c r="CR23" s="53">
        <v>40.349076000000004</v>
      </c>
      <c r="CS23" s="53">
        <v>34.628083099999998</v>
      </c>
      <c r="CT23" s="53">
        <v>34.258918700000002</v>
      </c>
      <c r="CU23" s="53">
        <v>35.495327100000004</v>
      </c>
      <c r="CV23" s="53">
        <v>40.243122199999995</v>
      </c>
      <c r="CW23" s="53">
        <v>45.767575300000004</v>
      </c>
      <c r="CX23" s="53">
        <v>49.633848700000001</v>
      </c>
      <c r="CY23" s="53">
        <v>53.581363000000003</v>
      </c>
      <c r="CZ23" s="53">
        <v>57.796852600000001</v>
      </c>
      <c r="DA23" s="53">
        <v>60.281312799999995</v>
      </c>
      <c r="DB23" s="53">
        <v>64.27818760000001</v>
      </c>
      <c r="DC23" s="53">
        <v>62.184873900000007</v>
      </c>
      <c r="DD23" s="53">
        <v>55.110220399999996</v>
      </c>
      <c r="DE23" s="53">
        <v>50.531914899999997</v>
      </c>
      <c r="DF23" s="53">
        <v>36.785714300000002</v>
      </c>
      <c r="DG23" s="53">
        <v>43.502079700000003</v>
      </c>
      <c r="DH23" s="53">
        <v>58.088235300000001</v>
      </c>
      <c r="DI23" s="53">
        <v>48.648648600000001</v>
      </c>
      <c r="DJ23" s="53">
        <v>43.960036299999999</v>
      </c>
      <c r="DK23" s="53">
        <v>42.563223300000004</v>
      </c>
      <c r="DL23" s="53">
        <v>48.414985600000001</v>
      </c>
      <c r="DM23" s="53">
        <v>50.634920600000001</v>
      </c>
      <c r="DN23" s="53">
        <v>55.503875999999998</v>
      </c>
      <c r="DO23" s="53">
        <v>60.822510799999996</v>
      </c>
      <c r="DP23" s="53">
        <v>62.749999999999993</v>
      </c>
      <c r="DQ23" s="53">
        <v>65.465465499999993</v>
      </c>
      <c r="DR23" s="53">
        <v>66.212534099999999</v>
      </c>
      <c r="DS23" s="53">
        <v>65.496368000000004</v>
      </c>
      <c r="DT23" s="53">
        <v>64.182692299999999</v>
      </c>
      <c r="DU23" s="53">
        <v>63.650793699999994</v>
      </c>
      <c r="DV23" s="53">
        <v>50.905797100000008</v>
      </c>
      <c r="DW23" s="53">
        <v>34.8747592</v>
      </c>
      <c r="DX23" s="53">
        <v>54.137812500000003</v>
      </c>
    </row>
    <row r="24" spans="1:128" x14ac:dyDescent="0.2">
      <c r="A24" s="52">
        <v>20</v>
      </c>
      <c r="B24" s="50" t="s">
        <v>19</v>
      </c>
      <c r="C24" s="155">
        <v>55.760710000000003</v>
      </c>
      <c r="D24" s="155">
        <v>59.440539999999999</v>
      </c>
      <c r="E24" s="155">
        <v>51.581500000000005</v>
      </c>
      <c r="F24" s="155">
        <v>55.648949999999999</v>
      </c>
      <c r="G24" s="155">
        <v>55.831390000000006</v>
      </c>
      <c r="H24" s="53">
        <v>53.989237199999998</v>
      </c>
      <c r="I24" s="53">
        <v>58.263862799999998</v>
      </c>
      <c r="J24" s="151">
        <v>63.968650000000004</v>
      </c>
      <c r="K24" s="151">
        <v>55.063310000000001</v>
      </c>
      <c r="L24" s="151">
        <v>48.548270000000002</v>
      </c>
      <c r="M24" s="151">
        <v>49.831940000000003</v>
      </c>
      <c r="N24" s="151">
        <v>54.772909999999996</v>
      </c>
      <c r="O24" s="151">
        <v>59.666460000000001</v>
      </c>
      <c r="P24" s="151">
        <v>63.854860000000002</v>
      </c>
      <c r="Q24" s="151">
        <v>66.405389999999997</v>
      </c>
      <c r="R24" s="151">
        <v>68.17889000000001</v>
      </c>
      <c r="S24" s="151">
        <v>69.542389999999997</v>
      </c>
      <c r="T24" s="151">
        <v>68.70478</v>
      </c>
      <c r="U24" s="151">
        <v>69.902450000000002</v>
      </c>
      <c r="V24" s="151">
        <v>68.283629999999988</v>
      </c>
      <c r="W24" s="151">
        <v>59.579709999999999</v>
      </c>
      <c r="X24" s="151">
        <v>51.249979999999994</v>
      </c>
      <c r="Y24" s="151">
        <v>32.76538</v>
      </c>
      <c r="Z24" s="152">
        <v>59.440539999999999</v>
      </c>
      <c r="AA24" s="151">
        <v>57.572490000000002</v>
      </c>
      <c r="AB24" s="151">
        <v>47.516979999999997</v>
      </c>
      <c r="AC24" s="151">
        <v>37.554809999999996</v>
      </c>
      <c r="AD24" s="151">
        <v>35.751080000000002</v>
      </c>
      <c r="AE24" s="151">
        <v>43.192390000000003</v>
      </c>
      <c r="AF24" s="151">
        <v>48.042119999999997</v>
      </c>
      <c r="AG24" s="151">
        <v>53.228509999999993</v>
      </c>
      <c r="AH24" s="151">
        <v>57.799310000000006</v>
      </c>
      <c r="AI24" s="151">
        <v>62.632190000000001</v>
      </c>
      <c r="AJ24" s="151">
        <v>65.205749999999995</v>
      </c>
      <c r="AK24" s="151">
        <v>66.748019999999997</v>
      </c>
      <c r="AL24" s="151">
        <v>70.941360000000003</v>
      </c>
      <c r="AM24" s="151">
        <v>72.256010000000003</v>
      </c>
      <c r="AN24" s="151">
        <v>68.086299999999994</v>
      </c>
      <c r="AO24" s="151">
        <v>58.602170000000001</v>
      </c>
      <c r="AP24" s="151">
        <v>40.2639</v>
      </c>
      <c r="AQ24" s="152">
        <v>51.581500000000005</v>
      </c>
      <c r="AR24" s="151">
        <v>60.817750000000004</v>
      </c>
      <c r="AS24" s="151">
        <v>51.407789999999999</v>
      </c>
      <c r="AT24" s="151">
        <v>43.224269999999997</v>
      </c>
      <c r="AU24" s="151">
        <v>43.032789999999999</v>
      </c>
      <c r="AV24" s="151">
        <v>49.349209999999999</v>
      </c>
      <c r="AW24" s="151">
        <v>54.190419999999996</v>
      </c>
      <c r="AX24" s="151">
        <v>58.885950000000001</v>
      </c>
      <c r="AY24" s="151">
        <v>62.42754</v>
      </c>
      <c r="AZ24" s="151">
        <v>65.616320000000002</v>
      </c>
      <c r="BA24" s="151">
        <v>67.58184</v>
      </c>
      <c r="BB24" s="151">
        <v>67.799980000000005</v>
      </c>
      <c r="BC24" s="151">
        <v>70.376019999999997</v>
      </c>
      <c r="BD24" s="151">
        <v>70.128190000000004</v>
      </c>
      <c r="BE24" s="151">
        <v>63.4574</v>
      </c>
      <c r="BF24" s="151">
        <v>54.445010000000003</v>
      </c>
      <c r="BG24" s="151">
        <v>36.053550000000001</v>
      </c>
      <c r="BH24" s="152">
        <v>55.760710000000003</v>
      </c>
      <c r="BI24" s="151">
        <v>64.3536</v>
      </c>
      <c r="BJ24" s="151">
        <v>54.260710000000003</v>
      </c>
      <c r="BK24" s="151">
        <v>44.906860000000002</v>
      </c>
      <c r="BL24" s="151">
        <v>41.502569999999999</v>
      </c>
      <c r="BM24" s="151">
        <v>47.294499999999999</v>
      </c>
      <c r="BN24" s="151">
        <v>52.98301</v>
      </c>
      <c r="BO24" s="151">
        <v>57.548359999999995</v>
      </c>
      <c r="BP24" s="151">
        <v>61.834330000000001</v>
      </c>
      <c r="BQ24" s="151">
        <v>64.382729999999995</v>
      </c>
      <c r="BR24" s="151">
        <v>66.58305</v>
      </c>
      <c r="BS24" s="151">
        <v>68.353949999999998</v>
      </c>
      <c r="BT24" s="151">
        <v>70.379230000000007</v>
      </c>
      <c r="BU24" s="151">
        <v>70.653379999999999</v>
      </c>
      <c r="BV24" s="151">
        <v>63.060079999999999</v>
      </c>
      <c r="BW24" s="151">
        <v>55.265529999999998</v>
      </c>
      <c r="BX24" s="151">
        <v>35.259879999999995</v>
      </c>
      <c r="BY24" s="152">
        <v>55.648949999999999</v>
      </c>
      <c r="BZ24" s="151">
        <v>58.316299999999998</v>
      </c>
      <c r="CA24" s="151">
        <v>49.665330000000004</v>
      </c>
      <c r="CB24" s="151">
        <v>42.285430000000005</v>
      </c>
      <c r="CC24" s="151">
        <v>43.884250000000002</v>
      </c>
      <c r="CD24" s="151">
        <v>50.643099999999997</v>
      </c>
      <c r="CE24" s="151">
        <v>54.987200000000001</v>
      </c>
      <c r="CF24" s="151">
        <v>59.763390000000008</v>
      </c>
      <c r="CG24" s="151">
        <v>62.829950000000004</v>
      </c>
      <c r="CH24" s="151">
        <v>66.46414</v>
      </c>
      <c r="CI24" s="151">
        <v>68.264840000000007</v>
      </c>
      <c r="CJ24" s="151">
        <v>67.409779999999998</v>
      </c>
      <c r="CK24" s="151">
        <v>70.373829999999998</v>
      </c>
      <c r="CL24" s="151">
        <v>69.794039999999995</v>
      </c>
      <c r="CM24" s="151">
        <v>63.700920000000004</v>
      </c>
      <c r="CN24" s="151">
        <v>53.974910000000001</v>
      </c>
      <c r="CO24" s="151">
        <v>36.509229999999995</v>
      </c>
      <c r="CP24" s="152">
        <v>55.831390000000006</v>
      </c>
      <c r="CQ24" s="53">
        <v>59.107534699999995</v>
      </c>
      <c r="CR24" s="53">
        <v>48.014440400000005</v>
      </c>
      <c r="CS24" s="53">
        <v>41.749458400000002</v>
      </c>
      <c r="CT24" s="53">
        <v>42.959780199999997</v>
      </c>
      <c r="CU24" s="53">
        <v>48.711381500000002</v>
      </c>
      <c r="CV24" s="53">
        <v>52.728382100000005</v>
      </c>
      <c r="CW24" s="53">
        <v>57.319490299999998</v>
      </c>
      <c r="CX24" s="53">
        <v>60.109055899999994</v>
      </c>
      <c r="CY24" s="53">
        <v>64.295468700000001</v>
      </c>
      <c r="CZ24" s="53">
        <v>66.704986300000002</v>
      </c>
      <c r="DA24" s="53">
        <v>65.182608700000003</v>
      </c>
      <c r="DB24" s="53">
        <v>67.376944399999999</v>
      </c>
      <c r="DC24" s="53">
        <v>67.595720700000001</v>
      </c>
      <c r="DD24" s="53">
        <v>60.786475600000003</v>
      </c>
      <c r="DE24" s="53">
        <v>51.116389500000004</v>
      </c>
      <c r="DF24" s="53">
        <v>33.650362299999998</v>
      </c>
      <c r="DG24" s="53">
        <v>53.989237199999998</v>
      </c>
      <c r="DH24" s="53">
        <v>57.688540600000003</v>
      </c>
      <c r="DI24" s="53">
        <v>52.066115700000005</v>
      </c>
      <c r="DJ24" s="53">
        <v>43.193910099999997</v>
      </c>
      <c r="DK24" s="53">
        <v>45.182448700000002</v>
      </c>
      <c r="DL24" s="53">
        <v>53.243805600000002</v>
      </c>
      <c r="DM24" s="53">
        <v>58.184199000000007</v>
      </c>
      <c r="DN24" s="53">
        <v>63.153706200000002</v>
      </c>
      <c r="DO24" s="53">
        <v>66.289648400000004</v>
      </c>
      <c r="DP24" s="53">
        <v>69.130998700000006</v>
      </c>
      <c r="DQ24" s="53">
        <v>70.078487899999999</v>
      </c>
      <c r="DR24" s="53">
        <v>70.106020400000006</v>
      </c>
      <c r="DS24" s="53">
        <v>73.901284700000005</v>
      </c>
      <c r="DT24" s="53">
        <v>72.056777100000005</v>
      </c>
      <c r="DU24" s="53">
        <v>66.770079299999992</v>
      </c>
      <c r="DV24" s="53">
        <v>57.332677200000006</v>
      </c>
      <c r="DW24" s="53">
        <v>39.690970499999999</v>
      </c>
      <c r="DX24" s="53">
        <v>58.263862799999998</v>
      </c>
    </row>
    <row r="25" spans="1:128" x14ac:dyDescent="0.2">
      <c r="A25" s="52">
        <v>21</v>
      </c>
      <c r="B25" s="50" t="s">
        <v>20</v>
      </c>
      <c r="C25" s="155">
        <v>55.307110000000002</v>
      </c>
      <c r="D25" s="155">
        <v>59.371609999999997</v>
      </c>
      <c r="E25" s="155">
        <v>50.66995</v>
      </c>
      <c r="F25" s="155">
        <v>49.970560000000006</v>
      </c>
      <c r="G25" s="155">
        <v>64.316800000000001</v>
      </c>
      <c r="H25" s="53">
        <v>62.872090700000008</v>
      </c>
      <c r="I25" s="53">
        <v>65.287341799999993</v>
      </c>
      <c r="J25" s="151">
        <v>64.575479999999999</v>
      </c>
      <c r="K25" s="151">
        <v>58.887950000000004</v>
      </c>
      <c r="L25" s="151">
        <v>51.505890000000001</v>
      </c>
      <c r="M25" s="151">
        <v>50.442200000000007</v>
      </c>
      <c r="N25" s="151">
        <v>54.371499999999997</v>
      </c>
      <c r="O25" s="151">
        <v>59.265219999999999</v>
      </c>
      <c r="P25" s="151">
        <v>62.393240000000006</v>
      </c>
      <c r="Q25" s="151">
        <v>65.076560000000001</v>
      </c>
      <c r="R25" s="151">
        <v>67.31340999999999</v>
      </c>
      <c r="S25" s="151">
        <v>68.697940000000003</v>
      </c>
      <c r="T25" s="151">
        <v>69.328749999999999</v>
      </c>
      <c r="U25" s="151">
        <v>70.925730000000001</v>
      </c>
      <c r="V25" s="151">
        <v>68.538359999999997</v>
      </c>
      <c r="W25" s="151">
        <v>61.177729999999997</v>
      </c>
      <c r="X25" s="151">
        <v>49.683300000000003</v>
      </c>
      <c r="Y25" s="151">
        <v>30.662949999999999</v>
      </c>
      <c r="Z25" s="152">
        <v>59.371609999999997</v>
      </c>
      <c r="AA25" s="151">
        <v>57.058430000000001</v>
      </c>
      <c r="AB25" s="151">
        <v>50.413269999999997</v>
      </c>
      <c r="AC25" s="151">
        <v>39.787640000000003</v>
      </c>
      <c r="AD25" s="151">
        <v>38.079479999999997</v>
      </c>
      <c r="AE25" s="151">
        <v>42.714790000000001</v>
      </c>
      <c r="AF25" s="151">
        <v>47.28192</v>
      </c>
      <c r="AG25" s="151">
        <v>52.021749999999997</v>
      </c>
      <c r="AH25" s="151">
        <v>56.432490000000001</v>
      </c>
      <c r="AI25" s="151">
        <v>59.537390000000002</v>
      </c>
      <c r="AJ25" s="151">
        <v>63.350769999999997</v>
      </c>
      <c r="AK25" s="151">
        <v>67.589120000000008</v>
      </c>
      <c r="AL25" s="151">
        <v>70.028419999999997</v>
      </c>
      <c r="AM25" s="151">
        <v>70.851749999999996</v>
      </c>
      <c r="AN25" s="151">
        <v>67.145290000000003</v>
      </c>
      <c r="AO25" s="151">
        <v>57.739600000000003</v>
      </c>
      <c r="AP25" s="151">
        <v>36.406169999999996</v>
      </c>
      <c r="AQ25" s="152">
        <v>50.66995</v>
      </c>
      <c r="AR25" s="151">
        <v>60.867380000000004</v>
      </c>
      <c r="AS25" s="151">
        <v>54.7303</v>
      </c>
      <c r="AT25" s="151">
        <v>45.743380000000002</v>
      </c>
      <c r="AU25" s="151">
        <v>44.399250000000002</v>
      </c>
      <c r="AV25" s="151">
        <v>48.90164</v>
      </c>
      <c r="AW25" s="151">
        <v>53.669609999999999</v>
      </c>
      <c r="AX25" s="151">
        <v>57.585240000000006</v>
      </c>
      <c r="AY25" s="151">
        <v>61.074189999999994</v>
      </c>
      <c r="AZ25" s="151">
        <v>63.803139999999999</v>
      </c>
      <c r="BA25" s="151">
        <v>66.271239999999992</v>
      </c>
      <c r="BB25" s="151">
        <v>68.541409999999999</v>
      </c>
      <c r="BC25" s="151">
        <v>70.524439999999998</v>
      </c>
      <c r="BD25" s="151">
        <v>69.558279999999996</v>
      </c>
      <c r="BE25" s="151">
        <v>63.850399999999993</v>
      </c>
      <c r="BF25" s="151">
        <v>53.109209999999997</v>
      </c>
      <c r="BG25" s="151">
        <v>32.955539999999999</v>
      </c>
      <c r="BH25" s="152">
        <v>55.307110000000002</v>
      </c>
      <c r="BI25" s="151">
        <v>56.661740000000002</v>
      </c>
      <c r="BJ25" s="151">
        <v>50.538830000000004</v>
      </c>
      <c r="BK25" s="151">
        <v>40.081339999999997</v>
      </c>
      <c r="BL25" s="151">
        <v>37.818559999999998</v>
      </c>
      <c r="BM25" s="151">
        <v>41.644919999999999</v>
      </c>
      <c r="BN25" s="151">
        <v>46.872579999999999</v>
      </c>
      <c r="BO25" s="151">
        <v>51.154999999999994</v>
      </c>
      <c r="BP25" s="151">
        <v>55.315650000000005</v>
      </c>
      <c r="BQ25" s="151">
        <v>58.936630000000001</v>
      </c>
      <c r="BR25" s="151">
        <v>61.675820000000002</v>
      </c>
      <c r="BS25" s="151">
        <v>65.290579999999991</v>
      </c>
      <c r="BT25" s="151">
        <v>67.856120000000004</v>
      </c>
      <c r="BU25" s="151">
        <v>66.007269999999991</v>
      </c>
      <c r="BV25" s="151">
        <v>60.96199</v>
      </c>
      <c r="BW25" s="151">
        <v>49.507150000000003</v>
      </c>
      <c r="BX25" s="151">
        <v>30.219849999999997</v>
      </c>
      <c r="BY25" s="152">
        <v>49.970560000000006</v>
      </c>
      <c r="BZ25" s="151">
        <v>68.682969999999997</v>
      </c>
      <c r="CA25" s="151">
        <v>61.710250000000002</v>
      </c>
      <c r="CB25" s="151">
        <v>54.694620000000008</v>
      </c>
      <c r="CC25" s="151">
        <v>54.796169999999996</v>
      </c>
      <c r="CD25" s="151">
        <v>60.860950000000003</v>
      </c>
      <c r="CE25" s="151">
        <v>65.246290000000002</v>
      </c>
      <c r="CF25" s="151">
        <v>69.003420000000006</v>
      </c>
      <c r="CG25" s="151">
        <v>71.902019999999993</v>
      </c>
      <c r="CH25" s="151">
        <v>72.929060000000007</v>
      </c>
      <c r="CI25" s="151">
        <v>74.932000000000002</v>
      </c>
      <c r="CJ25" s="151">
        <v>74.53864999999999</v>
      </c>
      <c r="CK25" s="151">
        <v>75.163650000000004</v>
      </c>
      <c r="CL25" s="151">
        <v>75.38</v>
      </c>
      <c r="CM25" s="151">
        <v>67.913710000000009</v>
      </c>
      <c r="CN25" s="151">
        <v>57.62088</v>
      </c>
      <c r="CO25" s="151">
        <v>36.173670000000001</v>
      </c>
      <c r="CP25" s="152">
        <v>64.316800000000001</v>
      </c>
      <c r="CQ25" s="53">
        <v>69.959677400000004</v>
      </c>
      <c r="CR25" s="53">
        <v>62.731067399999993</v>
      </c>
      <c r="CS25" s="53">
        <v>55.0376513</v>
      </c>
      <c r="CT25" s="53">
        <v>54.044184799999996</v>
      </c>
      <c r="CU25" s="53">
        <v>59.010179799999996</v>
      </c>
      <c r="CV25" s="53">
        <v>63.183011200000003</v>
      </c>
      <c r="CW25" s="53">
        <v>67.144925600000008</v>
      </c>
      <c r="CX25" s="53">
        <v>69.041218599999993</v>
      </c>
      <c r="CY25" s="53">
        <v>70.172290000000004</v>
      </c>
      <c r="CZ25" s="53">
        <v>72.291257900000005</v>
      </c>
      <c r="DA25" s="53">
        <v>71.804217699999995</v>
      </c>
      <c r="DB25" s="53">
        <v>71.76234980000001</v>
      </c>
      <c r="DC25" s="53">
        <v>73.364888100000002</v>
      </c>
      <c r="DD25" s="53">
        <v>66.703973099999999</v>
      </c>
      <c r="DE25" s="53">
        <v>58.515283799999992</v>
      </c>
      <c r="DF25" s="53">
        <v>38.446969699999997</v>
      </c>
      <c r="DG25" s="53">
        <v>62.872090700000008</v>
      </c>
      <c r="DH25" s="53">
        <v>67.725321899999997</v>
      </c>
      <c r="DI25" s="53">
        <v>61.090909100000005</v>
      </c>
      <c r="DJ25" s="53">
        <v>54.422623699999995</v>
      </c>
      <c r="DK25" s="53">
        <v>55.231418699999999</v>
      </c>
      <c r="DL25" s="53">
        <v>62.180910099999998</v>
      </c>
      <c r="DM25" s="53">
        <v>66.777998100000005</v>
      </c>
      <c r="DN25" s="53">
        <v>70.492375699999997</v>
      </c>
      <c r="DO25" s="53">
        <v>74.1210679</v>
      </c>
      <c r="DP25" s="53">
        <v>74.936507900000009</v>
      </c>
      <c r="DQ25" s="53">
        <v>76.739375699999997</v>
      </c>
      <c r="DR25" s="53">
        <v>76.344319200000001</v>
      </c>
      <c r="DS25" s="53">
        <v>77.468487400000001</v>
      </c>
      <c r="DT25" s="53">
        <v>76.429752100000002</v>
      </c>
      <c r="DU25" s="53">
        <v>68.702290099999999</v>
      </c>
      <c r="DV25" s="53">
        <v>56.898454700000002</v>
      </c>
      <c r="DW25" s="53">
        <v>34.194528900000002</v>
      </c>
      <c r="DX25" s="53">
        <v>65.287341799999993</v>
      </c>
    </row>
    <row r="26" spans="1:128" x14ac:dyDescent="0.2">
      <c r="A26" s="52">
        <v>22</v>
      </c>
      <c r="B26" s="50" t="s">
        <v>21</v>
      </c>
      <c r="C26" s="155">
        <v>50.991109999999992</v>
      </c>
      <c r="D26" s="155">
        <v>55.536270000000002</v>
      </c>
      <c r="E26" s="155">
        <v>46.178429999999999</v>
      </c>
      <c r="F26" s="155">
        <v>50.850890000000007</v>
      </c>
      <c r="G26" s="155">
        <v>51.153369999999995</v>
      </c>
      <c r="H26" s="53">
        <v>50.542432000000005</v>
      </c>
      <c r="I26" s="53">
        <v>53.416049000000001</v>
      </c>
      <c r="J26" s="151">
        <v>59.015340000000002</v>
      </c>
      <c r="K26" s="151">
        <v>51.418559999999999</v>
      </c>
      <c r="L26" s="151">
        <v>45.695190000000004</v>
      </c>
      <c r="M26" s="151">
        <v>44.293590000000002</v>
      </c>
      <c r="N26" s="151">
        <v>47.316580000000002</v>
      </c>
      <c r="O26" s="151">
        <v>53.72439</v>
      </c>
      <c r="P26" s="151">
        <v>57.981309999999993</v>
      </c>
      <c r="Q26" s="151">
        <v>60.685979999999994</v>
      </c>
      <c r="R26" s="151">
        <v>64.903489999999991</v>
      </c>
      <c r="S26" s="151">
        <v>67.429410000000004</v>
      </c>
      <c r="T26" s="151">
        <v>70.071939999999998</v>
      </c>
      <c r="U26" s="151">
        <v>69.91095</v>
      </c>
      <c r="V26" s="151">
        <v>70.128710000000012</v>
      </c>
      <c r="W26" s="151">
        <v>65.650909999999996</v>
      </c>
      <c r="X26" s="151">
        <v>52.678499999999993</v>
      </c>
      <c r="Y26" s="151">
        <v>32.105089999999997</v>
      </c>
      <c r="Z26" s="152">
        <v>55.536270000000002</v>
      </c>
      <c r="AA26" s="151">
        <v>49.445909999999998</v>
      </c>
      <c r="AB26" s="151">
        <v>42.12791</v>
      </c>
      <c r="AC26" s="151">
        <v>35.264409999999998</v>
      </c>
      <c r="AD26" s="151">
        <v>31.988430000000001</v>
      </c>
      <c r="AE26" s="151">
        <v>35.588120000000004</v>
      </c>
      <c r="AF26" s="151">
        <v>41.181449999999998</v>
      </c>
      <c r="AG26" s="151">
        <v>47.95337</v>
      </c>
      <c r="AH26" s="151">
        <v>52.035420000000002</v>
      </c>
      <c r="AI26" s="151">
        <v>57.139419999999994</v>
      </c>
      <c r="AJ26" s="151">
        <v>60.024230000000003</v>
      </c>
      <c r="AK26" s="151">
        <v>66.228340000000003</v>
      </c>
      <c r="AL26" s="151">
        <v>69.812060000000002</v>
      </c>
      <c r="AM26" s="151">
        <v>71.46768999999999</v>
      </c>
      <c r="AN26" s="151">
        <v>70.189049999999995</v>
      </c>
      <c r="AO26" s="151">
        <v>59.606769999999997</v>
      </c>
      <c r="AP26" s="151">
        <v>43.673729999999999</v>
      </c>
      <c r="AQ26" s="152">
        <v>46.178429999999999</v>
      </c>
      <c r="AR26" s="151">
        <v>54.211210000000001</v>
      </c>
      <c r="AS26" s="151">
        <v>46.734809999999996</v>
      </c>
      <c r="AT26" s="151">
        <v>40.428920000000005</v>
      </c>
      <c r="AU26" s="151">
        <v>38.058219999999999</v>
      </c>
      <c r="AV26" s="151">
        <v>41.464060000000003</v>
      </c>
      <c r="AW26" s="151">
        <v>47.604279999999996</v>
      </c>
      <c r="AX26" s="151">
        <v>53.189929999999997</v>
      </c>
      <c r="AY26" s="151">
        <v>56.540939999999992</v>
      </c>
      <c r="AZ26" s="151">
        <v>61.198220000000006</v>
      </c>
      <c r="BA26" s="151">
        <v>63.967439999999996</v>
      </c>
      <c r="BB26" s="151">
        <v>68.23660000000001</v>
      </c>
      <c r="BC26" s="151">
        <v>69.866</v>
      </c>
      <c r="BD26" s="151">
        <v>70.738640000000004</v>
      </c>
      <c r="BE26" s="151">
        <v>67.639110000000002</v>
      </c>
      <c r="BF26" s="151">
        <v>55.805020000000006</v>
      </c>
      <c r="BG26" s="151">
        <v>36.7254</v>
      </c>
      <c r="BH26" s="152">
        <v>50.991109999999992</v>
      </c>
      <c r="BI26" s="151">
        <v>55.320060000000005</v>
      </c>
      <c r="BJ26" s="151">
        <v>45.185199999999995</v>
      </c>
      <c r="BK26" s="151">
        <v>39.649290000000001</v>
      </c>
      <c r="BL26" s="151">
        <v>36.462989999999998</v>
      </c>
      <c r="BM26" s="151">
        <v>38.602490000000003</v>
      </c>
      <c r="BN26" s="151">
        <v>46.154359999999997</v>
      </c>
      <c r="BO26" s="151">
        <v>52.454570000000004</v>
      </c>
      <c r="BP26" s="151">
        <v>55.845040000000004</v>
      </c>
      <c r="BQ26" s="151">
        <v>61.232450000000007</v>
      </c>
      <c r="BR26" s="151">
        <v>64.864000000000004</v>
      </c>
      <c r="BS26" s="151">
        <v>69.418590000000009</v>
      </c>
      <c r="BT26" s="151">
        <v>70.346779999999995</v>
      </c>
      <c r="BU26" s="151">
        <v>72.260239999999996</v>
      </c>
      <c r="BV26" s="151">
        <v>69.564859999999996</v>
      </c>
      <c r="BW26" s="151">
        <v>57.81626</v>
      </c>
      <c r="BX26" s="151">
        <v>39.997369999999997</v>
      </c>
      <c r="BY26" s="152">
        <v>50.850890000000007</v>
      </c>
      <c r="BZ26" s="151">
        <v>53.100549999999998</v>
      </c>
      <c r="CA26" s="151">
        <v>48.214759999999998</v>
      </c>
      <c r="CB26" s="151">
        <v>41.235870000000006</v>
      </c>
      <c r="CC26" s="151">
        <v>39.824069999999999</v>
      </c>
      <c r="CD26" s="151">
        <v>44.51437</v>
      </c>
      <c r="CE26" s="151">
        <v>49.103819999999999</v>
      </c>
      <c r="CF26" s="151">
        <v>53.995170000000002</v>
      </c>
      <c r="CG26" s="151">
        <v>57.413289999999996</v>
      </c>
      <c r="CH26" s="151">
        <v>61.150819999999996</v>
      </c>
      <c r="CI26" s="151">
        <v>62.727370000000008</v>
      </c>
      <c r="CJ26" s="151">
        <v>66.554539999999989</v>
      </c>
      <c r="CK26" s="151">
        <v>69.187600000000003</v>
      </c>
      <c r="CL26" s="151">
        <v>68.622600000000006</v>
      </c>
      <c r="CM26" s="151">
        <v>65.157350000000008</v>
      </c>
      <c r="CN26" s="151">
        <v>53.517380000000003</v>
      </c>
      <c r="CO26" s="151">
        <v>33.34545</v>
      </c>
      <c r="CP26" s="152">
        <v>51.153369999999995</v>
      </c>
      <c r="CQ26" s="53">
        <v>53.964194399999997</v>
      </c>
      <c r="CR26" s="53">
        <v>48.651079099999997</v>
      </c>
      <c r="CS26" s="53">
        <v>40.7962864</v>
      </c>
      <c r="CT26" s="53">
        <v>39.044309300000002</v>
      </c>
      <c r="CU26" s="53">
        <v>42.624671900000003</v>
      </c>
      <c r="CV26" s="53">
        <v>47.749583299999998</v>
      </c>
      <c r="CW26" s="53">
        <v>53.341902300000001</v>
      </c>
      <c r="CX26" s="53">
        <v>57.265376099999997</v>
      </c>
      <c r="CY26" s="53">
        <v>61.127121399999993</v>
      </c>
      <c r="CZ26" s="53">
        <v>62.4689312</v>
      </c>
      <c r="DA26" s="53">
        <v>66.885964899999991</v>
      </c>
      <c r="DB26" s="53">
        <v>69.0922731</v>
      </c>
      <c r="DC26" s="53">
        <v>68.953880800000007</v>
      </c>
      <c r="DD26" s="53">
        <v>69.170579000000004</v>
      </c>
      <c r="DE26" s="53">
        <v>53.5377358</v>
      </c>
      <c r="DF26" s="53">
        <v>35.532994899999998</v>
      </c>
      <c r="DG26" s="53">
        <v>50.542432000000005</v>
      </c>
      <c r="DH26" s="53">
        <v>52.643678199999997</v>
      </c>
      <c r="DI26" s="53">
        <v>48.730964499999999</v>
      </c>
      <c r="DJ26" s="53">
        <v>43.489096599999996</v>
      </c>
      <c r="DK26" s="53">
        <v>42.603550299999995</v>
      </c>
      <c r="DL26" s="53">
        <v>49.761742699999999</v>
      </c>
      <c r="DM26" s="53">
        <v>53.624318000000002</v>
      </c>
      <c r="DN26" s="53">
        <v>56.1582382</v>
      </c>
      <c r="DO26" s="53">
        <v>58.823529399999998</v>
      </c>
      <c r="DP26" s="53">
        <v>61.925199300000003</v>
      </c>
      <c r="DQ26" s="53">
        <v>63.879369399999995</v>
      </c>
      <c r="DR26" s="53">
        <v>66.228070200000005</v>
      </c>
      <c r="DS26" s="53">
        <v>69.623059900000001</v>
      </c>
      <c r="DT26" s="53">
        <v>68.428184299999998</v>
      </c>
      <c r="DU26" s="53">
        <v>59.251559300000004</v>
      </c>
      <c r="DV26" s="53">
        <v>53.658536599999998</v>
      </c>
      <c r="DW26" s="53">
        <v>31.75</v>
      </c>
      <c r="DX26" s="53">
        <v>53.416049000000001</v>
      </c>
    </row>
    <row r="27" spans="1:128" x14ac:dyDescent="0.2">
      <c r="A27" s="52">
        <v>23</v>
      </c>
      <c r="B27" s="50" t="s">
        <v>22</v>
      </c>
      <c r="C27" s="155">
        <v>43.593559999999997</v>
      </c>
      <c r="D27" s="155">
        <v>46.916760000000004</v>
      </c>
      <c r="E27" s="155">
        <v>40.393499999999996</v>
      </c>
      <c r="F27" s="155">
        <v>40.367609999999999</v>
      </c>
      <c r="G27" s="155">
        <v>54.007709999999996</v>
      </c>
      <c r="H27" s="53">
        <v>48.496742900000001</v>
      </c>
      <c r="I27" s="53">
        <v>66.298820700000007</v>
      </c>
      <c r="J27" s="151">
        <v>51.87379</v>
      </c>
      <c r="K27" s="151">
        <v>46.17577</v>
      </c>
      <c r="L27" s="151">
        <v>38.182549999999999</v>
      </c>
      <c r="M27" s="151">
        <v>34.899850000000001</v>
      </c>
      <c r="N27" s="151">
        <v>39.268459999999997</v>
      </c>
      <c r="O27" s="151">
        <v>44.588100000000004</v>
      </c>
      <c r="P27" s="151">
        <v>51.957600000000006</v>
      </c>
      <c r="Q27" s="151">
        <v>54.957619999999999</v>
      </c>
      <c r="R27" s="151">
        <v>57.468339999999998</v>
      </c>
      <c r="S27" s="151">
        <v>59.529609999999998</v>
      </c>
      <c r="T27" s="151">
        <v>60.420479999999998</v>
      </c>
      <c r="U27" s="151">
        <v>63.141400000000004</v>
      </c>
      <c r="V27" s="151">
        <v>60.813019999999995</v>
      </c>
      <c r="W27" s="151">
        <v>56.690989999999999</v>
      </c>
      <c r="X27" s="151">
        <v>46.955689999999997</v>
      </c>
      <c r="Y27" s="151">
        <v>27.060089999999999</v>
      </c>
      <c r="Z27" s="152">
        <v>46.916760000000004</v>
      </c>
      <c r="AA27" s="151">
        <v>49.13438</v>
      </c>
      <c r="AB27" s="151">
        <v>38.401130000000002</v>
      </c>
      <c r="AC27" s="151">
        <v>30.737579999999998</v>
      </c>
      <c r="AD27" s="151">
        <v>26.928400000000003</v>
      </c>
      <c r="AE27" s="151">
        <v>29.839710000000004</v>
      </c>
      <c r="AF27" s="151">
        <v>36.110019999999999</v>
      </c>
      <c r="AG27" s="151">
        <v>43.693649999999998</v>
      </c>
      <c r="AH27" s="151">
        <v>47.8735</v>
      </c>
      <c r="AI27" s="151">
        <v>54.252209999999998</v>
      </c>
      <c r="AJ27" s="151">
        <v>56.275840000000002</v>
      </c>
      <c r="AK27" s="151">
        <v>59.983790000000006</v>
      </c>
      <c r="AL27" s="151">
        <v>65.996169999999992</v>
      </c>
      <c r="AM27" s="151">
        <v>67.207909999999998</v>
      </c>
      <c r="AN27" s="151">
        <v>63.029900000000005</v>
      </c>
      <c r="AO27" s="151">
        <v>60.759719999999994</v>
      </c>
      <c r="AP27" s="151">
        <v>40.7879</v>
      </c>
      <c r="AQ27" s="152">
        <v>40.393499999999996</v>
      </c>
      <c r="AR27" s="151">
        <v>50.483530000000002</v>
      </c>
      <c r="AS27" s="151">
        <v>42.338070000000002</v>
      </c>
      <c r="AT27" s="151">
        <v>34.364879999999999</v>
      </c>
      <c r="AU27" s="151">
        <v>30.76774</v>
      </c>
      <c r="AV27" s="151">
        <v>34.391529999999996</v>
      </c>
      <c r="AW27" s="151">
        <v>40.261899999999997</v>
      </c>
      <c r="AX27" s="151">
        <v>47.734439999999999</v>
      </c>
      <c r="AY27" s="151">
        <v>51.346440000000001</v>
      </c>
      <c r="AZ27" s="151">
        <v>55.828029999999998</v>
      </c>
      <c r="BA27" s="151">
        <v>57.893180000000001</v>
      </c>
      <c r="BB27" s="151">
        <v>60.204830000000001</v>
      </c>
      <c r="BC27" s="151">
        <v>64.521249999999995</v>
      </c>
      <c r="BD27" s="151">
        <v>63.938479999999998</v>
      </c>
      <c r="BE27" s="151">
        <v>59.782170000000001</v>
      </c>
      <c r="BF27" s="151">
        <v>53.269599999999997</v>
      </c>
      <c r="BG27" s="151">
        <v>33.218579999999996</v>
      </c>
      <c r="BH27" s="152">
        <v>43.593559999999997</v>
      </c>
      <c r="BI27" s="151">
        <v>47.515779999999999</v>
      </c>
      <c r="BJ27" s="151">
        <v>39.08032</v>
      </c>
      <c r="BK27" s="151">
        <v>30.69678</v>
      </c>
      <c r="BL27" s="151">
        <v>26.99295</v>
      </c>
      <c r="BM27" s="151">
        <v>30.488189999999999</v>
      </c>
      <c r="BN27" s="151">
        <v>37.403419999999997</v>
      </c>
      <c r="BO27" s="151">
        <v>44.849339999999998</v>
      </c>
      <c r="BP27" s="151">
        <v>49.115120000000005</v>
      </c>
      <c r="BQ27" s="151">
        <v>53.49924</v>
      </c>
      <c r="BR27" s="151">
        <v>55.424549999999996</v>
      </c>
      <c r="BS27" s="151">
        <v>58.10398</v>
      </c>
      <c r="BT27" s="151">
        <v>61.937889999999996</v>
      </c>
      <c r="BU27" s="151">
        <v>62.557680000000005</v>
      </c>
      <c r="BV27" s="151">
        <v>56.943540000000006</v>
      </c>
      <c r="BW27" s="151">
        <v>49.095779999999998</v>
      </c>
      <c r="BX27" s="151">
        <v>28.85549</v>
      </c>
      <c r="BY27" s="152">
        <v>40.367609999999999</v>
      </c>
      <c r="BZ27" s="151">
        <v>59.78633</v>
      </c>
      <c r="CA27" s="151">
        <v>51.534040000000005</v>
      </c>
      <c r="CB27" s="151">
        <v>45.508629999999997</v>
      </c>
      <c r="CC27" s="151">
        <v>43.814109999999999</v>
      </c>
      <c r="CD27" s="151">
        <v>48.065890000000003</v>
      </c>
      <c r="CE27" s="151">
        <v>50.348400000000005</v>
      </c>
      <c r="CF27" s="151">
        <v>57.554720000000003</v>
      </c>
      <c r="CG27" s="151">
        <v>59.012799999999999</v>
      </c>
      <c r="CH27" s="151">
        <v>64.055139999999994</v>
      </c>
      <c r="CI27" s="151">
        <v>65.845469999999992</v>
      </c>
      <c r="CJ27" s="151">
        <v>65.958680000000001</v>
      </c>
      <c r="CK27" s="151">
        <v>70.349029999999999</v>
      </c>
      <c r="CL27" s="151">
        <v>66.956369999999993</v>
      </c>
      <c r="CM27" s="151">
        <v>65.577770000000001</v>
      </c>
      <c r="CN27" s="151">
        <v>59.745649999999998</v>
      </c>
      <c r="CO27" s="151">
        <v>39.155340000000002</v>
      </c>
      <c r="CP27" s="152">
        <v>54.007709999999996</v>
      </c>
      <c r="CQ27" s="53">
        <v>54.742547399999999</v>
      </c>
      <c r="CR27" s="53">
        <v>47.0175439</v>
      </c>
      <c r="CS27" s="53">
        <v>39.428191499999997</v>
      </c>
      <c r="CT27" s="53">
        <v>37.526395200000003</v>
      </c>
      <c r="CU27" s="53">
        <v>41.4769231</v>
      </c>
      <c r="CV27" s="53">
        <v>45.096021899999997</v>
      </c>
      <c r="CW27" s="53">
        <v>52.725856699999994</v>
      </c>
      <c r="CX27" s="53">
        <v>53.538050699999992</v>
      </c>
      <c r="CY27" s="53">
        <v>58.070500899999999</v>
      </c>
      <c r="CZ27" s="53">
        <v>61.128048800000002</v>
      </c>
      <c r="DA27" s="53">
        <v>62.208713299999999</v>
      </c>
      <c r="DB27" s="53">
        <v>67.372881399999997</v>
      </c>
      <c r="DC27" s="53">
        <v>65.466101699999996</v>
      </c>
      <c r="DD27" s="53">
        <v>66.791044799999995</v>
      </c>
      <c r="DE27" s="53">
        <v>59.405940599999994</v>
      </c>
      <c r="DF27" s="53">
        <v>38.848920900000003</v>
      </c>
      <c r="DG27" s="53">
        <v>48.496742900000001</v>
      </c>
      <c r="DH27" s="53">
        <v>72.519084000000007</v>
      </c>
      <c r="DI27" s="53">
        <v>65.326633199999989</v>
      </c>
      <c r="DJ27" s="53">
        <v>59.537110900000002</v>
      </c>
      <c r="DK27" s="53">
        <v>58.976441899999998</v>
      </c>
      <c r="DL27" s="53">
        <v>63.7668161</v>
      </c>
      <c r="DM27" s="53">
        <v>64.306498500000004</v>
      </c>
      <c r="DN27" s="53">
        <v>68.191268199999996</v>
      </c>
      <c r="DO27" s="53">
        <v>72.632944200000011</v>
      </c>
      <c r="DP27" s="53">
        <v>75.613496900000001</v>
      </c>
      <c r="DQ27" s="53">
        <v>75.249500999999995</v>
      </c>
      <c r="DR27" s="53">
        <v>74.133949200000004</v>
      </c>
      <c r="DS27" s="53">
        <v>75.401069499999991</v>
      </c>
      <c r="DT27" s="53">
        <v>69.841269800000006</v>
      </c>
      <c r="DU27" s="53">
        <v>63.225806500000004</v>
      </c>
      <c r="DV27" s="53">
        <v>60.824742300000004</v>
      </c>
      <c r="DW27" s="53">
        <v>40.697674399999997</v>
      </c>
      <c r="DX27" s="53">
        <v>66.298820700000007</v>
      </c>
    </row>
    <row r="28" spans="1:128" x14ac:dyDescent="0.2">
      <c r="A28" s="52">
        <v>24</v>
      </c>
      <c r="B28" s="50" t="s">
        <v>23</v>
      </c>
      <c r="C28" s="155">
        <v>57.984870000000001</v>
      </c>
      <c r="D28" s="155">
        <v>63.060639999999999</v>
      </c>
      <c r="E28" s="155">
        <v>52.565429999999999</v>
      </c>
      <c r="F28" s="155">
        <v>54.334709999999994</v>
      </c>
      <c r="G28" s="155">
        <v>62.741860000000003</v>
      </c>
      <c r="H28" s="53">
        <v>58.006846700000004</v>
      </c>
      <c r="I28" s="53">
        <v>63.865759300000001</v>
      </c>
      <c r="J28" s="151">
        <v>66.955699999999993</v>
      </c>
      <c r="K28" s="151">
        <v>61.894170000000003</v>
      </c>
      <c r="L28" s="151">
        <v>54.194900000000004</v>
      </c>
      <c r="M28" s="151">
        <v>53.960260000000005</v>
      </c>
      <c r="N28" s="151">
        <v>57.749009999999998</v>
      </c>
      <c r="O28" s="151">
        <v>61.772079999999995</v>
      </c>
      <c r="P28" s="151">
        <v>66.683679999999995</v>
      </c>
      <c r="Q28" s="151">
        <v>68.950900000000004</v>
      </c>
      <c r="R28" s="151">
        <v>70.513409999999993</v>
      </c>
      <c r="S28" s="151">
        <v>72.694879999999998</v>
      </c>
      <c r="T28" s="151">
        <v>73.802279999999996</v>
      </c>
      <c r="U28" s="151">
        <v>73.017610000000005</v>
      </c>
      <c r="V28" s="151">
        <v>69.749479999999991</v>
      </c>
      <c r="W28" s="151">
        <v>65.277070000000009</v>
      </c>
      <c r="X28" s="151">
        <v>55.344850000000001</v>
      </c>
      <c r="Y28" s="151">
        <v>34.985019999999999</v>
      </c>
      <c r="Z28" s="152">
        <v>63.060639999999999</v>
      </c>
      <c r="AA28" s="151">
        <v>57.048370000000006</v>
      </c>
      <c r="AB28" s="151">
        <v>50.135209999999994</v>
      </c>
      <c r="AC28" s="151">
        <v>41.03687</v>
      </c>
      <c r="AD28" s="151">
        <v>38.637169999999998</v>
      </c>
      <c r="AE28" s="151">
        <v>42.672900000000006</v>
      </c>
      <c r="AF28" s="151">
        <v>47.519220000000004</v>
      </c>
      <c r="AG28" s="151">
        <v>52.754259999999995</v>
      </c>
      <c r="AH28" s="151">
        <v>57.588280000000005</v>
      </c>
      <c r="AI28" s="151">
        <v>60.684179999999998</v>
      </c>
      <c r="AJ28" s="151">
        <v>64.50527000000001</v>
      </c>
      <c r="AK28" s="151">
        <v>69.587319999999991</v>
      </c>
      <c r="AL28" s="151">
        <v>71.803209999999993</v>
      </c>
      <c r="AM28" s="151">
        <v>72.245760000000004</v>
      </c>
      <c r="AN28" s="151">
        <v>69.911749999999998</v>
      </c>
      <c r="AO28" s="151">
        <v>64.411360000000002</v>
      </c>
      <c r="AP28" s="151">
        <v>49.012519999999995</v>
      </c>
      <c r="AQ28" s="152">
        <v>52.565429999999999</v>
      </c>
      <c r="AR28" s="151">
        <v>61.969810000000003</v>
      </c>
      <c r="AS28" s="151">
        <v>56.122770000000003</v>
      </c>
      <c r="AT28" s="151">
        <v>47.638089999999998</v>
      </c>
      <c r="AU28" s="151">
        <v>46.333459999999995</v>
      </c>
      <c r="AV28" s="151">
        <v>50.301729999999999</v>
      </c>
      <c r="AW28" s="151">
        <v>54.884869999999999</v>
      </c>
      <c r="AX28" s="151">
        <v>60.038240000000002</v>
      </c>
      <c r="AY28" s="151">
        <v>63.577249999999999</v>
      </c>
      <c r="AZ28" s="151">
        <v>65.922550000000001</v>
      </c>
      <c r="BA28" s="151">
        <v>68.760760000000005</v>
      </c>
      <c r="BB28" s="151">
        <v>71.811309999999992</v>
      </c>
      <c r="BC28" s="151">
        <v>72.442840000000004</v>
      </c>
      <c r="BD28" s="151">
        <v>70.947550000000007</v>
      </c>
      <c r="BE28" s="151">
        <v>67.500329999999991</v>
      </c>
      <c r="BF28" s="151">
        <v>59.582679999999996</v>
      </c>
      <c r="BG28" s="151">
        <v>41.414560000000002</v>
      </c>
      <c r="BH28" s="152">
        <v>57.984870000000001</v>
      </c>
      <c r="BI28" s="151">
        <v>59.594679999999997</v>
      </c>
      <c r="BJ28" s="151">
        <v>53.430999999999997</v>
      </c>
      <c r="BK28" s="151">
        <v>45.064660000000003</v>
      </c>
      <c r="BL28" s="151">
        <v>42.644410000000001</v>
      </c>
      <c r="BM28" s="151">
        <v>45.355530000000002</v>
      </c>
      <c r="BN28" s="151">
        <v>49.379959999999997</v>
      </c>
      <c r="BO28" s="151">
        <v>55.643419999999999</v>
      </c>
      <c r="BP28" s="151">
        <v>58.684570000000001</v>
      </c>
      <c r="BQ28" s="151">
        <v>62.365749999999998</v>
      </c>
      <c r="BR28" s="151">
        <v>64.63306</v>
      </c>
      <c r="BS28" s="151">
        <v>68.943020000000004</v>
      </c>
      <c r="BT28" s="151">
        <v>69.582909999999998</v>
      </c>
      <c r="BU28" s="151">
        <v>67.783059999999992</v>
      </c>
      <c r="BV28" s="151">
        <v>64.525300000000001</v>
      </c>
      <c r="BW28" s="151">
        <v>57.877319999999997</v>
      </c>
      <c r="BX28" s="151">
        <v>40.721069999999997</v>
      </c>
      <c r="BY28" s="152">
        <v>54.334709999999994</v>
      </c>
      <c r="BZ28" s="151">
        <v>65.037589999999994</v>
      </c>
      <c r="CA28" s="151">
        <v>59.633000000000003</v>
      </c>
      <c r="CB28" s="151">
        <v>50.836590000000001</v>
      </c>
      <c r="CC28" s="151">
        <v>50.983330000000002</v>
      </c>
      <c r="CD28" s="151">
        <v>56.69332</v>
      </c>
      <c r="CE28" s="151">
        <v>62.038459999999993</v>
      </c>
      <c r="CF28" s="151">
        <v>65.872960000000006</v>
      </c>
      <c r="CG28" s="151">
        <v>70.832769999999996</v>
      </c>
      <c r="CH28" s="151">
        <v>71.429760000000002</v>
      </c>
      <c r="CI28" s="151">
        <v>75.156270000000006</v>
      </c>
      <c r="CJ28" s="151">
        <v>75.852199999999996</v>
      </c>
      <c r="CK28" s="151">
        <v>75.986270000000005</v>
      </c>
      <c r="CL28" s="151">
        <v>74.44802</v>
      </c>
      <c r="CM28" s="151">
        <v>70.34396000000001</v>
      </c>
      <c r="CN28" s="151">
        <v>61.197650000000003</v>
      </c>
      <c r="CO28" s="151">
        <v>41.916029999999999</v>
      </c>
      <c r="CP28" s="152">
        <v>62.741860000000003</v>
      </c>
      <c r="CQ28" s="53">
        <v>62.437810900000002</v>
      </c>
      <c r="CR28" s="53">
        <v>55.407969599999994</v>
      </c>
      <c r="CS28" s="53">
        <v>47.362341200000003</v>
      </c>
      <c r="CT28" s="53">
        <v>47.330389400000001</v>
      </c>
      <c r="CU28" s="53">
        <v>50.509995900000007</v>
      </c>
      <c r="CV28" s="53">
        <v>54.771073999999999</v>
      </c>
      <c r="CW28" s="53">
        <v>61.785545600000006</v>
      </c>
      <c r="CX28" s="53">
        <v>67.077087800000001</v>
      </c>
      <c r="CY28" s="53">
        <v>66.929133900000011</v>
      </c>
      <c r="CZ28" s="53">
        <v>71.016692000000006</v>
      </c>
      <c r="DA28" s="53">
        <v>71.142284600000011</v>
      </c>
      <c r="DB28" s="53">
        <v>69.559585499999997</v>
      </c>
      <c r="DC28" s="53">
        <v>69.014084499999996</v>
      </c>
      <c r="DD28" s="53">
        <v>66.512702099999998</v>
      </c>
      <c r="DE28" s="53">
        <v>61.5916955</v>
      </c>
      <c r="DF28" s="53">
        <v>31.764705900000003</v>
      </c>
      <c r="DG28" s="53">
        <v>58.006846700000004</v>
      </c>
      <c r="DH28" s="53">
        <v>66.442953000000003</v>
      </c>
      <c r="DI28" s="53">
        <v>60.9408411</v>
      </c>
      <c r="DJ28" s="53">
        <v>51.706657700000001</v>
      </c>
      <c r="DK28" s="53">
        <v>51.653212400000001</v>
      </c>
      <c r="DL28" s="53">
        <v>58.427118600000007</v>
      </c>
      <c r="DM28" s="53">
        <v>64.292196000000004</v>
      </c>
      <c r="DN28" s="53">
        <v>66.835319100000007</v>
      </c>
      <c r="DO28" s="53">
        <v>71.624472600000004</v>
      </c>
      <c r="DP28" s="53">
        <v>72.3577236</v>
      </c>
      <c r="DQ28" s="53">
        <v>75.859681499999994</v>
      </c>
      <c r="DR28" s="53">
        <v>76.529051999999993</v>
      </c>
      <c r="DS28" s="53">
        <v>77.192982499999999</v>
      </c>
      <c r="DT28" s="53">
        <v>75.107296099999999</v>
      </c>
      <c r="DU28" s="53">
        <v>70.898778399999998</v>
      </c>
      <c r="DV28" s="53">
        <v>61.1735331</v>
      </c>
      <c r="DW28" s="53">
        <v>44.087837800000003</v>
      </c>
      <c r="DX28" s="53">
        <v>63.865759300000001</v>
      </c>
    </row>
    <row r="29" spans="1:128" x14ac:dyDescent="0.2">
      <c r="A29" s="52">
        <v>25</v>
      </c>
      <c r="B29" s="50" t="s">
        <v>24</v>
      </c>
      <c r="C29" s="155">
        <v>49.20129</v>
      </c>
      <c r="D29" s="155">
        <v>52.517130000000002</v>
      </c>
      <c r="E29" s="155">
        <v>45.732800000000005</v>
      </c>
      <c r="F29" s="155">
        <v>47.784680000000002</v>
      </c>
      <c r="G29" s="155">
        <v>52.934110000000004</v>
      </c>
      <c r="H29" s="53">
        <v>51.442452400000008</v>
      </c>
      <c r="I29" s="53">
        <v>54.475131399999995</v>
      </c>
      <c r="J29" s="151">
        <v>53.262709999999998</v>
      </c>
      <c r="K29" s="151">
        <v>46.231830000000002</v>
      </c>
      <c r="L29" s="151">
        <v>41.227899999999998</v>
      </c>
      <c r="M29" s="151">
        <v>40.185630000000003</v>
      </c>
      <c r="N29" s="151">
        <v>44.363239999999998</v>
      </c>
      <c r="O29" s="151">
        <v>50.271100000000004</v>
      </c>
      <c r="P29" s="151">
        <v>55.177620000000005</v>
      </c>
      <c r="Q29" s="151">
        <v>58.224719999999998</v>
      </c>
      <c r="R29" s="151">
        <v>61.278950000000002</v>
      </c>
      <c r="S29" s="151">
        <v>64.439049999999995</v>
      </c>
      <c r="T29" s="151">
        <v>65.861099999999993</v>
      </c>
      <c r="U29" s="151">
        <v>68.361419999999995</v>
      </c>
      <c r="V29" s="151">
        <v>64.554769999999991</v>
      </c>
      <c r="W29" s="151">
        <v>58.976620000000004</v>
      </c>
      <c r="X29" s="151">
        <v>43.98977</v>
      </c>
      <c r="Y29" s="151">
        <v>27.81174</v>
      </c>
      <c r="Z29" s="152">
        <v>52.517130000000002</v>
      </c>
      <c r="AA29" s="151">
        <v>47.277029999999996</v>
      </c>
      <c r="AB29" s="151">
        <v>41.096879999999999</v>
      </c>
      <c r="AC29" s="151">
        <v>32.723190000000002</v>
      </c>
      <c r="AD29" s="151">
        <v>30.009629999999998</v>
      </c>
      <c r="AE29" s="151">
        <v>33.553179999999998</v>
      </c>
      <c r="AF29" s="151">
        <v>38.678249999999998</v>
      </c>
      <c r="AG29" s="151">
        <v>43.744440000000004</v>
      </c>
      <c r="AH29" s="151">
        <v>50.02111</v>
      </c>
      <c r="AI29" s="151">
        <v>55.14049</v>
      </c>
      <c r="AJ29" s="151">
        <v>60.0274</v>
      </c>
      <c r="AK29" s="151">
        <v>64.688550000000006</v>
      </c>
      <c r="AL29" s="151">
        <v>70.22287</v>
      </c>
      <c r="AM29" s="151">
        <v>71.652990000000003</v>
      </c>
      <c r="AN29" s="151">
        <v>65.472409999999996</v>
      </c>
      <c r="AO29" s="151">
        <v>59.498240000000003</v>
      </c>
      <c r="AP29" s="151">
        <v>37.410520000000005</v>
      </c>
      <c r="AQ29" s="152">
        <v>45.732800000000005</v>
      </c>
      <c r="AR29" s="151">
        <v>50.196899999999999</v>
      </c>
      <c r="AS29" s="151">
        <v>43.698399999999999</v>
      </c>
      <c r="AT29" s="151">
        <v>36.967979999999997</v>
      </c>
      <c r="AU29" s="151">
        <v>35.119749999999996</v>
      </c>
      <c r="AV29" s="151">
        <v>38.972580000000001</v>
      </c>
      <c r="AW29" s="151">
        <v>44.536809999999996</v>
      </c>
      <c r="AX29" s="151">
        <v>49.592280000000002</v>
      </c>
      <c r="AY29" s="151">
        <v>54.211840000000002</v>
      </c>
      <c r="AZ29" s="151">
        <v>58.30227</v>
      </c>
      <c r="BA29" s="151">
        <v>62.347640000000006</v>
      </c>
      <c r="BB29" s="151">
        <v>65.306330000000003</v>
      </c>
      <c r="BC29" s="151">
        <v>69.245140000000006</v>
      </c>
      <c r="BD29" s="151">
        <v>67.933920000000001</v>
      </c>
      <c r="BE29" s="151">
        <v>62.162680000000002</v>
      </c>
      <c r="BF29" s="151">
        <v>51.210970000000003</v>
      </c>
      <c r="BG29" s="151">
        <v>31.831250000000001</v>
      </c>
      <c r="BH29" s="152">
        <v>49.20129</v>
      </c>
      <c r="BI29" s="151">
        <v>49.393520000000002</v>
      </c>
      <c r="BJ29" s="151">
        <v>42.015360000000001</v>
      </c>
      <c r="BK29" s="151">
        <v>35.655179999999994</v>
      </c>
      <c r="BL29" s="151">
        <v>33.69012</v>
      </c>
      <c r="BM29" s="151">
        <v>37.397359999999999</v>
      </c>
      <c r="BN29" s="151">
        <v>42.794399999999996</v>
      </c>
      <c r="BO29" s="151">
        <v>47.620559999999998</v>
      </c>
      <c r="BP29" s="151">
        <v>52.833220000000004</v>
      </c>
      <c r="BQ29" s="151">
        <v>57.131489999999999</v>
      </c>
      <c r="BR29" s="151">
        <v>60.617200000000004</v>
      </c>
      <c r="BS29" s="151">
        <v>64.447159999999997</v>
      </c>
      <c r="BT29" s="151">
        <v>69.174819999999997</v>
      </c>
      <c r="BU29" s="151">
        <v>66.645960000000002</v>
      </c>
      <c r="BV29" s="151">
        <v>61.318660000000001</v>
      </c>
      <c r="BW29" s="151">
        <v>50.334489999999995</v>
      </c>
      <c r="BX29" s="151">
        <v>31.485980000000001</v>
      </c>
      <c r="BY29" s="152">
        <v>47.784680000000002</v>
      </c>
      <c r="BZ29" s="151">
        <v>52.609079999999999</v>
      </c>
      <c r="CA29" s="151">
        <v>48.444670000000002</v>
      </c>
      <c r="CB29" s="151">
        <v>40.401720000000005</v>
      </c>
      <c r="CC29" s="151">
        <v>39.043879999999994</v>
      </c>
      <c r="CD29" s="151">
        <v>43.423490000000001</v>
      </c>
      <c r="CE29" s="151">
        <v>49.282579999999996</v>
      </c>
      <c r="CF29" s="151">
        <v>54.664029999999997</v>
      </c>
      <c r="CG29" s="151">
        <v>57.942839999999997</v>
      </c>
      <c r="CH29" s="151">
        <v>61.578540000000004</v>
      </c>
      <c r="CI29" s="151">
        <v>67.259870000000006</v>
      </c>
      <c r="CJ29" s="151">
        <v>67.579840000000004</v>
      </c>
      <c r="CK29" s="151">
        <v>69.416970000000006</v>
      </c>
      <c r="CL29" s="151">
        <v>70.827390000000008</v>
      </c>
      <c r="CM29" s="151">
        <v>63.912690000000005</v>
      </c>
      <c r="CN29" s="151">
        <v>52.883979999999994</v>
      </c>
      <c r="CO29" s="151">
        <v>32.410319999999999</v>
      </c>
      <c r="CP29" s="152">
        <v>52.934110000000004</v>
      </c>
      <c r="CQ29" s="53">
        <v>50.833333300000007</v>
      </c>
      <c r="CR29" s="53">
        <v>45.817490500000005</v>
      </c>
      <c r="CS29" s="53">
        <v>38.8907563</v>
      </c>
      <c r="CT29" s="53">
        <v>37.905049000000005</v>
      </c>
      <c r="CU29" s="53">
        <v>41.215616699999998</v>
      </c>
      <c r="CV29" s="53">
        <v>47.235239</v>
      </c>
      <c r="CW29" s="53">
        <v>53.655107800000003</v>
      </c>
      <c r="CX29" s="53">
        <v>56.376746300000001</v>
      </c>
      <c r="CY29" s="53">
        <v>60.225442799999996</v>
      </c>
      <c r="CZ29" s="53">
        <v>65.047923299999994</v>
      </c>
      <c r="DA29" s="53">
        <v>66.198282599999999</v>
      </c>
      <c r="DB29" s="53">
        <v>69.501466300000004</v>
      </c>
      <c r="DC29" s="53">
        <v>70.166453300000001</v>
      </c>
      <c r="DD29" s="53">
        <v>65.550239200000007</v>
      </c>
      <c r="DE29" s="53">
        <v>53.290870499999997</v>
      </c>
      <c r="DF29" s="53">
        <v>34.6938776</v>
      </c>
      <c r="DG29" s="53">
        <v>51.442452400000008</v>
      </c>
      <c r="DH29" s="53">
        <v>54.676259000000002</v>
      </c>
      <c r="DI29" s="53">
        <v>51.689189199999994</v>
      </c>
      <c r="DJ29" s="53">
        <v>42.094402899999999</v>
      </c>
      <c r="DK29" s="53">
        <v>40.297318799999999</v>
      </c>
      <c r="DL29" s="53">
        <v>45.589142500000001</v>
      </c>
      <c r="DM29" s="53">
        <v>51.155222899999998</v>
      </c>
      <c r="DN29" s="53">
        <v>55.845810799999995</v>
      </c>
      <c r="DO29" s="53">
        <v>59.700476500000001</v>
      </c>
      <c r="DP29" s="53">
        <v>63.176609999999997</v>
      </c>
      <c r="DQ29" s="53">
        <v>68.997669000000002</v>
      </c>
      <c r="DR29" s="53">
        <v>68.842427299999997</v>
      </c>
      <c r="DS29" s="53">
        <v>69.645042799999999</v>
      </c>
      <c r="DT29" s="53">
        <v>71.520803400000005</v>
      </c>
      <c r="DU29" s="53">
        <v>63.291139200000003</v>
      </c>
      <c r="DV29" s="53">
        <v>52.677279300000002</v>
      </c>
      <c r="DW29" s="53">
        <v>31.381381400000002</v>
      </c>
      <c r="DX29" s="53">
        <v>54.475131399999995</v>
      </c>
    </row>
    <row r="30" spans="1:128" x14ac:dyDescent="0.2">
      <c r="A30" s="52">
        <v>26</v>
      </c>
      <c r="B30" s="50" t="s">
        <v>25</v>
      </c>
      <c r="C30" s="155">
        <v>42.776969999999999</v>
      </c>
      <c r="D30" s="155">
        <v>45.959960000000002</v>
      </c>
      <c r="E30" s="155">
        <v>39.514899999999997</v>
      </c>
      <c r="F30" s="155">
        <v>42.214400000000005</v>
      </c>
      <c r="G30" s="155">
        <v>44.887219999999999</v>
      </c>
      <c r="H30" s="53">
        <v>46.246848999999997</v>
      </c>
      <c r="I30" s="53">
        <v>45.5678494</v>
      </c>
      <c r="J30" s="151">
        <v>46.074590000000001</v>
      </c>
      <c r="K30" s="151">
        <v>38.433230000000002</v>
      </c>
      <c r="L30" s="151">
        <v>35.219590000000004</v>
      </c>
      <c r="M30" s="151">
        <v>33.169649999999997</v>
      </c>
      <c r="N30" s="151">
        <v>37.745750000000001</v>
      </c>
      <c r="O30" s="151">
        <v>42.663069999999998</v>
      </c>
      <c r="P30" s="151">
        <v>48.036749999999998</v>
      </c>
      <c r="Q30" s="151">
        <v>51.878450000000001</v>
      </c>
      <c r="R30" s="151">
        <v>56.634890000000006</v>
      </c>
      <c r="S30" s="151">
        <v>56.620349999999995</v>
      </c>
      <c r="T30" s="151">
        <v>58.926599999999993</v>
      </c>
      <c r="U30" s="151">
        <v>60.834069999999997</v>
      </c>
      <c r="V30" s="151">
        <v>57.684089999999998</v>
      </c>
      <c r="W30" s="151">
        <v>51.808639999999997</v>
      </c>
      <c r="X30" s="151">
        <v>40.26126</v>
      </c>
      <c r="Y30" s="151">
        <v>28.170440000000003</v>
      </c>
      <c r="Z30" s="152">
        <v>45.959960000000002</v>
      </c>
      <c r="AA30" s="151">
        <v>39.196569999999994</v>
      </c>
      <c r="AB30" s="151">
        <v>33.100990000000003</v>
      </c>
      <c r="AC30" s="151">
        <v>28.387689999999999</v>
      </c>
      <c r="AD30" s="151">
        <v>25.333220000000001</v>
      </c>
      <c r="AE30" s="151">
        <v>28.186630000000001</v>
      </c>
      <c r="AF30" s="151">
        <v>32.951219999999999</v>
      </c>
      <c r="AG30" s="151">
        <v>37.922629999999998</v>
      </c>
      <c r="AH30" s="151">
        <v>43.155270000000002</v>
      </c>
      <c r="AI30" s="151">
        <v>47.747030000000002</v>
      </c>
      <c r="AJ30" s="151">
        <v>52.979140000000001</v>
      </c>
      <c r="AK30" s="151">
        <v>58.99194</v>
      </c>
      <c r="AL30" s="151">
        <v>63.996529999999993</v>
      </c>
      <c r="AM30" s="151">
        <v>62.84449</v>
      </c>
      <c r="AN30" s="151">
        <v>58.366459999999996</v>
      </c>
      <c r="AO30" s="151">
        <v>51.606479999999998</v>
      </c>
      <c r="AP30" s="151">
        <v>35.11627</v>
      </c>
      <c r="AQ30" s="152">
        <v>39.514899999999997</v>
      </c>
      <c r="AR30" s="151">
        <v>42.746810000000004</v>
      </c>
      <c r="AS30" s="151">
        <v>35.809950000000001</v>
      </c>
      <c r="AT30" s="151">
        <v>31.793189999999999</v>
      </c>
      <c r="AU30" s="151">
        <v>29.214099999999998</v>
      </c>
      <c r="AV30" s="151">
        <v>32.984459999999999</v>
      </c>
      <c r="AW30" s="151">
        <v>37.787399999999998</v>
      </c>
      <c r="AX30" s="151">
        <v>42.956429999999997</v>
      </c>
      <c r="AY30" s="151">
        <v>47.550740000000005</v>
      </c>
      <c r="AZ30" s="151">
        <v>52.218869999999995</v>
      </c>
      <c r="BA30" s="151">
        <v>54.834499999999998</v>
      </c>
      <c r="BB30" s="151">
        <v>58.957349999999998</v>
      </c>
      <c r="BC30" s="151">
        <v>62.350490000000001</v>
      </c>
      <c r="BD30" s="151">
        <v>60.145899999999997</v>
      </c>
      <c r="BE30" s="151">
        <v>54.874160000000003</v>
      </c>
      <c r="BF30" s="151">
        <v>45.379719999999999</v>
      </c>
      <c r="BG30" s="151">
        <v>31.030210000000004</v>
      </c>
      <c r="BH30" s="152">
        <v>42.776969999999999</v>
      </c>
      <c r="BI30" s="151">
        <v>42.145709999999994</v>
      </c>
      <c r="BJ30" s="151">
        <v>35.27496</v>
      </c>
      <c r="BK30" s="151">
        <v>31.352879999999999</v>
      </c>
      <c r="BL30" s="151">
        <v>28.276970000000002</v>
      </c>
      <c r="BM30" s="151">
        <v>32.113129999999998</v>
      </c>
      <c r="BN30" s="151">
        <v>37.365739999999995</v>
      </c>
      <c r="BO30" s="151">
        <v>42.067339999999994</v>
      </c>
      <c r="BP30" s="151">
        <v>47.1982</v>
      </c>
      <c r="BQ30" s="151">
        <v>51.814389999999996</v>
      </c>
      <c r="BR30" s="151">
        <v>54.515670000000007</v>
      </c>
      <c r="BS30" s="151">
        <v>59.141779999999997</v>
      </c>
      <c r="BT30" s="151">
        <v>61.633990000000004</v>
      </c>
      <c r="BU30" s="151">
        <v>59.531129999999997</v>
      </c>
      <c r="BV30" s="151">
        <v>53.905340000000002</v>
      </c>
      <c r="BW30" s="151">
        <v>43.887730000000005</v>
      </c>
      <c r="BX30" s="151">
        <v>29.702469999999998</v>
      </c>
      <c r="BY30" s="152">
        <v>42.214400000000005</v>
      </c>
      <c r="BZ30" s="151">
        <v>45.34057</v>
      </c>
      <c r="CA30" s="151">
        <v>37.906220000000005</v>
      </c>
      <c r="CB30" s="151">
        <v>33.42962</v>
      </c>
      <c r="CC30" s="151">
        <v>32.792000000000002</v>
      </c>
      <c r="CD30" s="151">
        <v>36.298970000000004</v>
      </c>
      <c r="CE30" s="151">
        <v>39.28537</v>
      </c>
      <c r="CF30" s="151">
        <v>46.320920000000001</v>
      </c>
      <c r="CG30" s="151">
        <v>48.883620000000001</v>
      </c>
      <c r="CH30" s="151">
        <v>53.819950000000006</v>
      </c>
      <c r="CI30" s="151">
        <v>56.158229999999996</v>
      </c>
      <c r="CJ30" s="151">
        <v>58.248840000000001</v>
      </c>
      <c r="CK30" s="151">
        <v>65.099800000000002</v>
      </c>
      <c r="CL30" s="151">
        <v>62.250550000000004</v>
      </c>
      <c r="CM30" s="151">
        <v>57.90278</v>
      </c>
      <c r="CN30" s="151">
        <v>49.249359999999996</v>
      </c>
      <c r="CO30" s="151">
        <v>34.70758</v>
      </c>
      <c r="CP30" s="152">
        <v>44.887219999999999</v>
      </c>
      <c r="CQ30" s="53">
        <v>48.318042800000001</v>
      </c>
      <c r="CR30" s="53">
        <v>37.946428599999997</v>
      </c>
      <c r="CS30" s="53">
        <v>35.661334400000001</v>
      </c>
      <c r="CT30" s="53">
        <v>34.822134399999996</v>
      </c>
      <c r="CU30" s="53">
        <v>36.950904399999999</v>
      </c>
      <c r="CV30" s="53">
        <v>39.983511999999997</v>
      </c>
      <c r="CW30" s="53">
        <v>48.580735199999999</v>
      </c>
      <c r="CX30" s="53">
        <v>51.250589900000001</v>
      </c>
      <c r="CY30" s="53">
        <v>55.483490599999996</v>
      </c>
      <c r="CZ30" s="53">
        <v>58.675799100000006</v>
      </c>
      <c r="DA30" s="53">
        <v>61.154855600000005</v>
      </c>
      <c r="DB30" s="53">
        <v>67.385786800000005</v>
      </c>
      <c r="DC30" s="53">
        <v>63.90625</v>
      </c>
      <c r="DD30" s="53">
        <v>57.664233600000003</v>
      </c>
      <c r="DE30" s="53">
        <v>50.793650800000002</v>
      </c>
      <c r="DF30" s="53">
        <v>33.766233800000002</v>
      </c>
      <c r="DG30" s="53">
        <v>46.246848999999997</v>
      </c>
      <c r="DH30" s="53">
        <v>44.444444400000002</v>
      </c>
      <c r="DI30" s="53">
        <v>40.219780200000002</v>
      </c>
      <c r="DJ30" s="53">
        <v>33.1185106</v>
      </c>
      <c r="DK30" s="53">
        <v>32.777346800000004</v>
      </c>
      <c r="DL30" s="53">
        <v>37.409149200000002</v>
      </c>
      <c r="DM30" s="53">
        <v>40.675105500000001</v>
      </c>
      <c r="DN30" s="53">
        <v>45.773381299999997</v>
      </c>
      <c r="DO30" s="53">
        <v>48.351648400000002</v>
      </c>
      <c r="DP30" s="53">
        <v>54.132002199999995</v>
      </c>
      <c r="DQ30" s="53">
        <v>55.742821499999998</v>
      </c>
      <c r="DR30" s="53">
        <v>57.515030099999997</v>
      </c>
      <c r="DS30" s="53">
        <v>65.157984599999992</v>
      </c>
      <c r="DT30" s="53">
        <v>62.214611900000008</v>
      </c>
      <c r="DU30" s="53">
        <v>58.9424572</v>
      </c>
      <c r="DV30" s="53">
        <v>49.318181799999998</v>
      </c>
      <c r="DW30" s="53">
        <v>36.908517400000001</v>
      </c>
      <c r="DX30" s="53">
        <v>45.5678494</v>
      </c>
    </row>
    <row r="31" spans="1:128" x14ac:dyDescent="0.2">
      <c r="A31" s="52">
        <v>27</v>
      </c>
      <c r="B31" s="50" t="s">
        <v>26</v>
      </c>
      <c r="C31" s="155">
        <v>52.722169999999998</v>
      </c>
      <c r="D31" s="155">
        <v>55.644919999999999</v>
      </c>
      <c r="E31" s="155">
        <v>49.57282</v>
      </c>
      <c r="F31" s="155">
        <v>49.344860000000004</v>
      </c>
      <c r="G31" s="155">
        <v>55.128279999999997</v>
      </c>
      <c r="H31" s="53">
        <v>49.817497199999998</v>
      </c>
      <c r="I31" s="53">
        <v>57.045937999999992</v>
      </c>
      <c r="J31" s="151">
        <v>60.366100000000003</v>
      </c>
      <c r="K31" s="151">
        <v>53.976880000000008</v>
      </c>
      <c r="L31" s="151">
        <v>48.472989999999996</v>
      </c>
      <c r="M31" s="151">
        <v>46.867319999999999</v>
      </c>
      <c r="N31" s="151">
        <v>51.166849999999997</v>
      </c>
      <c r="O31" s="151">
        <v>55.778320000000001</v>
      </c>
      <c r="P31" s="151">
        <v>58.233219999999996</v>
      </c>
      <c r="Q31" s="151">
        <v>61.93177</v>
      </c>
      <c r="R31" s="151">
        <v>63.624650000000003</v>
      </c>
      <c r="S31" s="151">
        <v>62.333780000000004</v>
      </c>
      <c r="T31" s="151">
        <v>63.279850000000003</v>
      </c>
      <c r="U31" s="151">
        <v>63.805350000000004</v>
      </c>
      <c r="V31" s="151">
        <v>61.682250000000003</v>
      </c>
      <c r="W31" s="151">
        <v>56.193119999999993</v>
      </c>
      <c r="X31" s="151">
        <v>41.194369999999999</v>
      </c>
      <c r="Y31" s="151">
        <v>27.071719999999999</v>
      </c>
      <c r="Z31" s="152">
        <v>55.644919999999999</v>
      </c>
      <c r="AA31" s="151">
        <v>56.1783</v>
      </c>
      <c r="AB31" s="151">
        <v>46.85333</v>
      </c>
      <c r="AC31" s="151">
        <v>39.12359</v>
      </c>
      <c r="AD31" s="151">
        <v>35.927209999999995</v>
      </c>
      <c r="AE31" s="151">
        <v>40.855919999999998</v>
      </c>
      <c r="AF31" s="151">
        <v>44.862220000000001</v>
      </c>
      <c r="AG31" s="151">
        <v>48.289369999999998</v>
      </c>
      <c r="AH31" s="151">
        <v>55.063580000000002</v>
      </c>
      <c r="AI31" s="151">
        <v>58.260629999999999</v>
      </c>
      <c r="AJ31" s="151">
        <v>60.015390000000004</v>
      </c>
      <c r="AK31" s="151">
        <v>65.880499999999998</v>
      </c>
      <c r="AL31" s="151">
        <v>71.106279999999998</v>
      </c>
      <c r="AM31" s="151">
        <v>70.794659999999993</v>
      </c>
      <c r="AN31" s="151">
        <v>64.730609999999999</v>
      </c>
      <c r="AO31" s="151">
        <v>58.931460000000001</v>
      </c>
      <c r="AP31" s="151">
        <v>40.737020000000001</v>
      </c>
      <c r="AQ31" s="152">
        <v>49.57282</v>
      </c>
      <c r="AR31" s="151">
        <v>58.288939999999997</v>
      </c>
      <c r="AS31" s="151">
        <v>50.360959999999999</v>
      </c>
      <c r="AT31" s="151">
        <v>43.91863</v>
      </c>
      <c r="AU31" s="151">
        <v>41.517900000000004</v>
      </c>
      <c r="AV31" s="151">
        <v>46.196669999999997</v>
      </c>
      <c r="AW31" s="151">
        <v>50.600179999999995</v>
      </c>
      <c r="AX31" s="151">
        <v>53.536189999999998</v>
      </c>
      <c r="AY31" s="151">
        <v>58.704389999999997</v>
      </c>
      <c r="AZ31" s="151">
        <v>61.061900000000001</v>
      </c>
      <c r="BA31" s="151">
        <v>61.206119999999999</v>
      </c>
      <c r="BB31" s="151">
        <v>64.552129999999991</v>
      </c>
      <c r="BC31" s="151">
        <v>67.385759999999991</v>
      </c>
      <c r="BD31" s="151">
        <v>66.025570000000002</v>
      </c>
      <c r="BE31" s="151">
        <v>60.178290000000004</v>
      </c>
      <c r="BF31" s="151">
        <v>49.790410000000001</v>
      </c>
      <c r="BG31" s="151">
        <v>33.306989999999999</v>
      </c>
      <c r="BH31" s="152">
        <v>52.722169999999998</v>
      </c>
      <c r="BI31" s="151">
        <v>53.680309999999999</v>
      </c>
      <c r="BJ31" s="151">
        <v>45.508379999999995</v>
      </c>
      <c r="BK31" s="151">
        <v>39.861640000000001</v>
      </c>
      <c r="BL31" s="151">
        <v>36.288350000000001</v>
      </c>
      <c r="BM31" s="151">
        <v>40.117779999999996</v>
      </c>
      <c r="BN31" s="151">
        <v>45.390700000000002</v>
      </c>
      <c r="BO31" s="151">
        <v>48.940899999999999</v>
      </c>
      <c r="BP31" s="151">
        <v>55.737170000000006</v>
      </c>
      <c r="BQ31" s="151">
        <v>59.312069999999991</v>
      </c>
      <c r="BR31" s="151">
        <v>58.710030000000003</v>
      </c>
      <c r="BS31" s="151">
        <v>63.801960000000001</v>
      </c>
      <c r="BT31" s="151">
        <v>64.91283</v>
      </c>
      <c r="BU31" s="151">
        <v>65.270849999999996</v>
      </c>
      <c r="BV31" s="151">
        <v>57.632329999999996</v>
      </c>
      <c r="BW31" s="151">
        <v>50.320600000000006</v>
      </c>
      <c r="BX31" s="151">
        <v>32.615070000000003</v>
      </c>
      <c r="BY31" s="152">
        <v>49.344860000000004</v>
      </c>
      <c r="BZ31" s="151">
        <v>61.317219999999992</v>
      </c>
      <c r="CA31" s="151">
        <v>53.328710000000001</v>
      </c>
      <c r="CB31" s="151">
        <v>46.472119999999997</v>
      </c>
      <c r="CC31" s="151">
        <v>45.011189999999999</v>
      </c>
      <c r="CD31" s="151">
        <v>50.348440000000004</v>
      </c>
      <c r="CE31" s="151">
        <v>54.299109999999992</v>
      </c>
      <c r="CF31" s="151">
        <v>56.709540000000004</v>
      </c>
      <c r="CG31" s="151">
        <v>60.907889999999995</v>
      </c>
      <c r="CH31" s="151">
        <v>62.447980000000001</v>
      </c>
      <c r="CI31" s="151">
        <v>63.313560000000003</v>
      </c>
      <c r="CJ31" s="151">
        <v>65.164960000000008</v>
      </c>
      <c r="CK31" s="151">
        <v>69.309200000000004</v>
      </c>
      <c r="CL31" s="151">
        <v>66.591290000000001</v>
      </c>
      <c r="CM31" s="151">
        <v>62.112490000000001</v>
      </c>
      <c r="CN31" s="151">
        <v>49.424659999999996</v>
      </c>
      <c r="CO31" s="151">
        <v>33.743790000000004</v>
      </c>
      <c r="CP31" s="152">
        <v>55.128279999999997</v>
      </c>
      <c r="CQ31" s="53">
        <v>55.939524799999994</v>
      </c>
      <c r="CR31" s="53">
        <v>49.691358000000001</v>
      </c>
      <c r="CS31" s="53">
        <v>39.658914699999997</v>
      </c>
      <c r="CT31" s="53">
        <v>39.406124300000002</v>
      </c>
      <c r="CU31" s="53">
        <v>43.6553349</v>
      </c>
      <c r="CV31" s="53">
        <v>49.242157199999994</v>
      </c>
      <c r="CW31" s="53">
        <v>50.906505500000002</v>
      </c>
      <c r="CX31" s="53">
        <v>56.658786400000004</v>
      </c>
      <c r="CY31" s="53">
        <v>59.201994999999997</v>
      </c>
      <c r="CZ31" s="53">
        <v>57.878787899999992</v>
      </c>
      <c r="DA31" s="53">
        <v>61.588861600000001</v>
      </c>
      <c r="DB31" s="53">
        <v>64.004376399999998</v>
      </c>
      <c r="DC31" s="53">
        <v>60.561056100000002</v>
      </c>
      <c r="DD31" s="53">
        <v>59.230769199999997</v>
      </c>
      <c r="DE31" s="53">
        <v>41.7582418</v>
      </c>
      <c r="DF31" s="53">
        <v>32.0833333</v>
      </c>
      <c r="DG31" s="53">
        <v>49.817497199999998</v>
      </c>
      <c r="DH31" s="53">
        <v>63.314561499999996</v>
      </c>
      <c r="DI31" s="53">
        <v>54.604105599999997</v>
      </c>
      <c r="DJ31" s="53">
        <v>48.783830099999996</v>
      </c>
      <c r="DK31" s="53">
        <v>47.170034300000005</v>
      </c>
      <c r="DL31" s="53">
        <v>52.902155900000004</v>
      </c>
      <c r="DM31" s="53">
        <v>56.018457499999997</v>
      </c>
      <c r="DN31" s="53">
        <v>58.932384299999995</v>
      </c>
      <c r="DO31" s="53">
        <v>62.426177199999998</v>
      </c>
      <c r="DP31" s="53">
        <v>63.685636899999999</v>
      </c>
      <c r="DQ31" s="53">
        <v>65.406775800000005</v>
      </c>
      <c r="DR31" s="53">
        <v>66.414655400000001</v>
      </c>
      <c r="DS31" s="53">
        <v>71.129860600000001</v>
      </c>
      <c r="DT31" s="53">
        <v>68.3316169</v>
      </c>
      <c r="DU31" s="53">
        <v>62.627052400000004</v>
      </c>
      <c r="DV31" s="53">
        <v>51.760939200000003</v>
      </c>
      <c r="DW31" s="53">
        <v>34.222737800000004</v>
      </c>
      <c r="DX31" s="53">
        <v>57.045937999999992</v>
      </c>
    </row>
    <row r="32" spans="1:128" x14ac:dyDescent="0.2">
      <c r="A32" s="52">
        <v>28</v>
      </c>
      <c r="B32" s="50" t="s">
        <v>27</v>
      </c>
      <c r="C32" s="155">
        <v>51.732489999999999</v>
      </c>
      <c r="D32" s="155">
        <v>55.527729999999998</v>
      </c>
      <c r="E32" s="155">
        <v>47.78192</v>
      </c>
      <c r="F32" s="155">
        <v>50.062539999999998</v>
      </c>
      <c r="G32" s="155">
        <v>57.24165</v>
      </c>
      <c r="H32" s="53">
        <v>52.398417799999997</v>
      </c>
      <c r="I32" s="53">
        <v>63.692547200000007</v>
      </c>
      <c r="J32" s="151">
        <v>58.953849999999996</v>
      </c>
      <c r="K32" s="151">
        <v>52.109570000000005</v>
      </c>
      <c r="L32" s="151">
        <v>45.425179999999997</v>
      </c>
      <c r="M32" s="151">
        <v>42.492730000000002</v>
      </c>
      <c r="N32" s="151">
        <v>47.96537</v>
      </c>
      <c r="O32" s="151">
        <v>53.729400000000005</v>
      </c>
      <c r="P32" s="151">
        <v>58.951620000000005</v>
      </c>
      <c r="Q32" s="151">
        <v>61.504610000000007</v>
      </c>
      <c r="R32" s="151">
        <v>63.428049999999999</v>
      </c>
      <c r="S32" s="151">
        <v>65.653649999999999</v>
      </c>
      <c r="T32" s="151">
        <v>67.643100000000004</v>
      </c>
      <c r="U32" s="151">
        <v>66.793930000000003</v>
      </c>
      <c r="V32" s="151">
        <v>63.893140000000002</v>
      </c>
      <c r="W32" s="151">
        <v>58.182869999999994</v>
      </c>
      <c r="X32" s="151">
        <v>49.218640000000001</v>
      </c>
      <c r="Y32" s="151">
        <v>32.573450000000001</v>
      </c>
      <c r="Z32" s="152">
        <v>55.527729999999998</v>
      </c>
      <c r="AA32" s="151">
        <v>52.766630000000006</v>
      </c>
      <c r="AB32" s="151">
        <v>44.633270000000003</v>
      </c>
      <c r="AC32" s="151">
        <v>37.937640000000002</v>
      </c>
      <c r="AD32" s="151">
        <v>32.403019999999998</v>
      </c>
      <c r="AE32" s="151">
        <v>35.951880000000003</v>
      </c>
      <c r="AF32" s="151">
        <v>42.91057</v>
      </c>
      <c r="AG32" s="151">
        <v>48.413070000000005</v>
      </c>
      <c r="AH32" s="151">
        <v>51.961290000000005</v>
      </c>
      <c r="AI32" s="151">
        <v>55.708999999999996</v>
      </c>
      <c r="AJ32" s="151">
        <v>59.398220000000002</v>
      </c>
      <c r="AK32" s="151">
        <v>63.825800000000001</v>
      </c>
      <c r="AL32" s="151">
        <v>67.302120000000002</v>
      </c>
      <c r="AM32" s="151">
        <v>66.127040000000008</v>
      </c>
      <c r="AN32" s="151">
        <v>63.915529999999997</v>
      </c>
      <c r="AO32" s="151">
        <v>57.029280000000007</v>
      </c>
      <c r="AP32" s="151">
        <v>39.813320000000004</v>
      </c>
      <c r="AQ32" s="152">
        <v>47.78192</v>
      </c>
      <c r="AR32" s="151">
        <v>55.802989999999994</v>
      </c>
      <c r="AS32" s="151">
        <v>48.363129999999998</v>
      </c>
      <c r="AT32" s="151">
        <v>41.652180000000001</v>
      </c>
      <c r="AU32" s="151">
        <v>37.380920000000003</v>
      </c>
      <c r="AV32" s="151">
        <v>41.880250000000004</v>
      </c>
      <c r="AW32" s="151">
        <v>48.328980000000001</v>
      </c>
      <c r="AX32" s="151">
        <v>53.777290000000001</v>
      </c>
      <c r="AY32" s="151">
        <v>56.853229999999996</v>
      </c>
      <c r="AZ32" s="151">
        <v>59.665539999999993</v>
      </c>
      <c r="BA32" s="151">
        <v>62.669460000000001</v>
      </c>
      <c r="BB32" s="151">
        <v>65.803420000000003</v>
      </c>
      <c r="BC32" s="151">
        <v>67.030270000000002</v>
      </c>
      <c r="BD32" s="151">
        <v>64.938580000000002</v>
      </c>
      <c r="BE32" s="151">
        <v>60.716119999999997</v>
      </c>
      <c r="BF32" s="151">
        <v>52.674220000000005</v>
      </c>
      <c r="BG32" s="151">
        <v>35.559989999999999</v>
      </c>
      <c r="BH32" s="152">
        <v>51.732489999999999</v>
      </c>
      <c r="BI32" s="151">
        <v>54.281789999999994</v>
      </c>
      <c r="BJ32" s="151">
        <v>46.772539999999999</v>
      </c>
      <c r="BK32" s="151">
        <v>39.991199999999999</v>
      </c>
      <c r="BL32" s="151">
        <v>35.802419999999998</v>
      </c>
      <c r="BM32" s="151">
        <v>39.945720000000001</v>
      </c>
      <c r="BN32" s="151">
        <v>46.49427</v>
      </c>
      <c r="BO32" s="151">
        <v>51.936669999999992</v>
      </c>
      <c r="BP32" s="151">
        <v>55.434350000000002</v>
      </c>
      <c r="BQ32" s="151">
        <v>58.326129999999999</v>
      </c>
      <c r="BR32" s="151">
        <v>61.597270000000002</v>
      </c>
      <c r="BS32" s="151">
        <v>64.590609999999998</v>
      </c>
      <c r="BT32" s="151">
        <v>65.239860000000007</v>
      </c>
      <c r="BU32" s="151">
        <v>63.059549999999994</v>
      </c>
      <c r="BV32" s="151">
        <v>58.637660000000004</v>
      </c>
      <c r="BW32" s="151">
        <v>49.212200000000003</v>
      </c>
      <c r="BX32" s="151">
        <v>32.451299999999996</v>
      </c>
      <c r="BY32" s="152">
        <v>50.062539999999998</v>
      </c>
      <c r="BZ32" s="151">
        <v>60.714509999999997</v>
      </c>
      <c r="CA32" s="151">
        <v>53.664599999999993</v>
      </c>
      <c r="CB32" s="151">
        <v>47.293050000000001</v>
      </c>
      <c r="CC32" s="151">
        <v>42.824170000000002</v>
      </c>
      <c r="CD32" s="151">
        <v>48.571690000000004</v>
      </c>
      <c r="CE32" s="151">
        <v>54.338739999999994</v>
      </c>
      <c r="CF32" s="151">
        <v>59.65943</v>
      </c>
      <c r="CG32" s="151">
        <v>61.758199999999995</v>
      </c>
      <c r="CH32" s="151">
        <v>64.467200000000005</v>
      </c>
      <c r="CI32" s="151">
        <v>66.270830000000004</v>
      </c>
      <c r="CJ32" s="151">
        <v>69.746070000000003</v>
      </c>
      <c r="CK32" s="151">
        <v>72.773399999999995</v>
      </c>
      <c r="CL32" s="151">
        <v>70.630570000000006</v>
      </c>
      <c r="CM32" s="151">
        <v>66.612620000000007</v>
      </c>
      <c r="CN32" s="151">
        <v>60.734869999999994</v>
      </c>
      <c r="CO32" s="151">
        <v>42.161720000000003</v>
      </c>
      <c r="CP32" s="152">
        <v>57.24165</v>
      </c>
      <c r="CQ32" s="53">
        <v>55.013550099999996</v>
      </c>
      <c r="CR32" s="53">
        <v>49.250535299999996</v>
      </c>
      <c r="CS32" s="53">
        <v>43.351284200000002</v>
      </c>
      <c r="CT32" s="53">
        <v>37.591469799999999</v>
      </c>
      <c r="CU32" s="53">
        <v>43.5235409</v>
      </c>
      <c r="CV32" s="53">
        <v>49.638870699999998</v>
      </c>
      <c r="CW32" s="53">
        <v>55.325443799999995</v>
      </c>
      <c r="CX32" s="53">
        <v>57.802746599999999</v>
      </c>
      <c r="CY32" s="53">
        <v>60.614525100000009</v>
      </c>
      <c r="CZ32" s="53">
        <v>62.705067400000004</v>
      </c>
      <c r="DA32" s="53">
        <v>66.101694899999998</v>
      </c>
      <c r="DB32" s="53">
        <v>69.050632899999997</v>
      </c>
      <c r="DC32" s="53">
        <v>67.332754100000002</v>
      </c>
      <c r="DD32" s="53">
        <v>63.580998799999996</v>
      </c>
      <c r="DE32" s="53">
        <v>58.0858086</v>
      </c>
      <c r="DF32" s="53">
        <v>40.983606600000002</v>
      </c>
      <c r="DG32" s="53">
        <v>52.398417799999997</v>
      </c>
      <c r="DH32" s="53">
        <v>71.096345499999998</v>
      </c>
      <c r="DI32" s="53">
        <v>60.614525100000009</v>
      </c>
      <c r="DJ32" s="53">
        <v>53.066151599999998</v>
      </c>
      <c r="DK32" s="53">
        <v>50.685557599999996</v>
      </c>
      <c r="DL32" s="53">
        <v>56.829137699999997</v>
      </c>
      <c r="DM32" s="53">
        <v>63.234501299999998</v>
      </c>
      <c r="DN32" s="53">
        <v>66.884094300000001</v>
      </c>
      <c r="DO32" s="53">
        <v>67.270844100000005</v>
      </c>
      <c r="DP32" s="53">
        <v>69.343461699999992</v>
      </c>
      <c r="DQ32" s="53">
        <v>70.514354099999991</v>
      </c>
      <c r="DR32" s="53">
        <v>73.430271000000005</v>
      </c>
      <c r="DS32" s="53">
        <v>76.700680300000002</v>
      </c>
      <c r="DT32" s="53">
        <v>73.111782500000004</v>
      </c>
      <c r="DU32" s="53">
        <v>68.501920600000005</v>
      </c>
      <c r="DV32" s="53">
        <v>61.764705900000003</v>
      </c>
      <c r="DW32" s="53">
        <v>42.378048800000002</v>
      </c>
      <c r="DX32" s="53">
        <v>63.692547200000007</v>
      </c>
    </row>
    <row r="33" spans="1:128" x14ac:dyDescent="0.2">
      <c r="A33" s="52">
        <v>29</v>
      </c>
      <c r="B33" s="50" t="s">
        <v>28</v>
      </c>
      <c r="C33" s="155">
        <v>65.762010000000004</v>
      </c>
      <c r="D33" s="155">
        <v>70.251289999999997</v>
      </c>
      <c r="E33" s="155">
        <v>60.815039999999996</v>
      </c>
      <c r="F33" s="155">
        <v>64.638410000000007</v>
      </c>
      <c r="G33" s="155">
        <v>68.202470000000005</v>
      </c>
      <c r="H33" s="53">
        <v>66.706345099999993</v>
      </c>
      <c r="I33" s="53">
        <v>73.589244600000001</v>
      </c>
      <c r="J33" s="151">
        <v>74.511679999999998</v>
      </c>
      <c r="K33" s="151">
        <v>69.721330000000009</v>
      </c>
      <c r="L33" s="151">
        <v>63.05341</v>
      </c>
      <c r="M33" s="151">
        <v>62.288589999999999</v>
      </c>
      <c r="N33" s="151">
        <v>66.01258</v>
      </c>
      <c r="O33" s="151">
        <v>69.456609999999998</v>
      </c>
      <c r="P33" s="151">
        <v>72.933979999999991</v>
      </c>
      <c r="Q33" s="151">
        <v>74.99306</v>
      </c>
      <c r="R33" s="151">
        <v>77.857910000000004</v>
      </c>
      <c r="S33" s="151">
        <v>76.973729999999989</v>
      </c>
      <c r="T33" s="151">
        <v>78.838560000000001</v>
      </c>
      <c r="U33" s="151">
        <v>77.839280000000002</v>
      </c>
      <c r="V33" s="151">
        <v>76.391629999999992</v>
      </c>
      <c r="W33" s="151">
        <v>72.324250000000006</v>
      </c>
      <c r="X33" s="151">
        <v>64.433399999999992</v>
      </c>
      <c r="Y33" s="151">
        <v>45.853839999999998</v>
      </c>
      <c r="Z33" s="152">
        <v>70.251289999999997</v>
      </c>
      <c r="AA33" s="151">
        <v>66.581100000000006</v>
      </c>
      <c r="AB33" s="151">
        <v>61.085360000000001</v>
      </c>
      <c r="AC33" s="151">
        <v>52.333159999999999</v>
      </c>
      <c r="AD33" s="151">
        <v>50.456949999999999</v>
      </c>
      <c r="AE33" s="151">
        <v>52.303379999999997</v>
      </c>
      <c r="AF33" s="151">
        <v>56.206809999999997</v>
      </c>
      <c r="AG33" s="151">
        <v>60.609159999999996</v>
      </c>
      <c r="AH33" s="151">
        <v>64.469269999999995</v>
      </c>
      <c r="AI33" s="151">
        <v>69.301270000000002</v>
      </c>
      <c r="AJ33" s="151">
        <v>71.915030000000002</v>
      </c>
      <c r="AK33" s="151">
        <v>75.748919999999998</v>
      </c>
      <c r="AL33" s="151">
        <v>78.058350000000004</v>
      </c>
      <c r="AM33" s="151">
        <v>77.796959999999999</v>
      </c>
      <c r="AN33" s="151">
        <v>76.989170000000001</v>
      </c>
      <c r="AO33" s="151">
        <v>72.697000000000003</v>
      </c>
      <c r="AP33" s="151">
        <v>55.929070000000003</v>
      </c>
      <c r="AQ33" s="152">
        <v>60.815039999999996</v>
      </c>
      <c r="AR33" s="151">
        <v>70.388490000000004</v>
      </c>
      <c r="AS33" s="151">
        <v>65.530770000000004</v>
      </c>
      <c r="AT33" s="151">
        <v>57.69238</v>
      </c>
      <c r="AU33" s="151">
        <v>56.437910000000002</v>
      </c>
      <c r="AV33" s="151">
        <v>59.316060000000007</v>
      </c>
      <c r="AW33" s="151">
        <v>63.201059999999998</v>
      </c>
      <c r="AX33" s="151">
        <v>67.160390000000007</v>
      </c>
      <c r="AY33" s="151">
        <v>70.154769999999999</v>
      </c>
      <c r="AZ33" s="151">
        <v>73.874660000000006</v>
      </c>
      <c r="BA33" s="151">
        <v>74.640129999999999</v>
      </c>
      <c r="BB33" s="151">
        <v>77.402349999999998</v>
      </c>
      <c r="BC33" s="151">
        <v>77.940020000000004</v>
      </c>
      <c r="BD33" s="151">
        <v>77.017189999999999</v>
      </c>
      <c r="BE33" s="151">
        <v>74.439639999999997</v>
      </c>
      <c r="BF33" s="151">
        <v>68.10557</v>
      </c>
      <c r="BG33" s="151">
        <v>50.134979999999999</v>
      </c>
      <c r="BH33" s="152">
        <v>65.762010000000004</v>
      </c>
      <c r="BI33" s="151">
        <v>70.291930000000008</v>
      </c>
      <c r="BJ33" s="151">
        <v>64.884640000000005</v>
      </c>
      <c r="BK33" s="151">
        <v>56.874510000000001</v>
      </c>
      <c r="BL33" s="151">
        <v>54.748050000000006</v>
      </c>
      <c r="BM33" s="151">
        <v>57.983019999999996</v>
      </c>
      <c r="BN33" s="151">
        <v>61.505370000000006</v>
      </c>
      <c r="BO33" s="151">
        <v>66.486710000000002</v>
      </c>
      <c r="BP33" s="151">
        <v>69.01648999999999</v>
      </c>
      <c r="BQ33" s="151">
        <v>73.074060000000003</v>
      </c>
      <c r="BR33" s="151">
        <v>73.560050000000004</v>
      </c>
      <c r="BS33" s="151">
        <v>76.238709999999998</v>
      </c>
      <c r="BT33" s="151">
        <v>75.856859999999998</v>
      </c>
      <c r="BU33" s="151">
        <v>74.531869999999998</v>
      </c>
      <c r="BV33" s="151">
        <v>74.04213</v>
      </c>
      <c r="BW33" s="151">
        <v>66.687060000000002</v>
      </c>
      <c r="BX33" s="151">
        <v>47.408699999999996</v>
      </c>
      <c r="BY33" s="152">
        <v>64.638410000000007</v>
      </c>
      <c r="BZ33" s="151">
        <v>70.572609999999997</v>
      </c>
      <c r="CA33" s="151">
        <v>66.81062</v>
      </c>
      <c r="CB33" s="151">
        <v>59.385889999999996</v>
      </c>
      <c r="CC33" s="151">
        <v>59.877919999999996</v>
      </c>
      <c r="CD33" s="151">
        <v>62.13579</v>
      </c>
      <c r="CE33" s="151">
        <v>67.099310000000003</v>
      </c>
      <c r="CF33" s="151">
        <v>68.633799999999994</v>
      </c>
      <c r="CG33" s="151">
        <v>72.664860000000004</v>
      </c>
      <c r="CH33" s="151">
        <v>75.705169999999995</v>
      </c>
      <c r="CI33" s="151">
        <v>77.161199999999994</v>
      </c>
      <c r="CJ33" s="151">
        <v>80.079250000000002</v>
      </c>
      <c r="CK33" s="151">
        <v>83.173000000000002</v>
      </c>
      <c r="CL33" s="151">
        <v>82.875069999999994</v>
      </c>
      <c r="CM33" s="151">
        <v>75.240120000000005</v>
      </c>
      <c r="CN33" s="151">
        <v>70.761949999999999</v>
      </c>
      <c r="CO33" s="151">
        <v>55.165480000000002</v>
      </c>
      <c r="CP33" s="152">
        <v>68.202470000000005</v>
      </c>
      <c r="CQ33" s="53">
        <v>67.977528100000001</v>
      </c>
      <c r="CR33" s="53">
        <v>63.858093100000005</v>
      </c>
      <c r="CS33" s="53">
        <v>58.0489763</v>
      </c>
      <c r="CT33" s="53">
        <v>57.249508800000001</v>
      </c>
      <c r="CU33" s="53">
        <v>60.470275100000002</v>
      </c>
      <c r="CV33" s="53">
        <v>65.025641000000007</v>
      </c>
      <c r="CW33" s="53">
        <v>68.5699319</v>
      </c>
      <c r="CX33" s="53">
        <v>72.044817899999998</v>
      </c>
      <c r="CY33" s="53">
        <v>74.679270799999998</v>
      </c>
      <c r="CZ33" s="53">
        <v>75.989445899999993</v>
      </c>
      <c r="DA33" s="53">
        <v>78.625134299999999</v>
      </c>
      <c r="DB33" s="53">
        <v>82.181259600000004</v>
      </c>
      <c r="DC33" s="53">
        <v>82.306162999999998</v>
      </c>
      <c r="DD33" s="53">
        <v>73.770491800000002</v>
      </c>
      <c r="DE33" s="53">
        <v>68.702290099999999</v>
      </c>
      <c r="DF33" s="53">
        <v>51.6</v>
      </c>
      <c r="DG33" s="53">
        <v>66.706345099999993</v>
      </c>
      <c r="DH33" s="53">
        <v>81.318681299999994</v>
      </c>
      <c r="DI33" s="53">
        <v>76.158940399999992</v>
      </c>
      <c r="DJ33" s="53">
        <v>64.295676400000005</v>
      </c>
      <c r="DK33" s="53">
        <v>69.534555699999999</v>
      </c>
      <c r="DL33" s="53">
        <v>68.5393258</v>
      </c>
      <c r="DM33" s="53">
        <v>74.204355100000001</v>
      </c>
      <c r="DN33" s="53">
        <v>69.269949099999991</v>
      </c>
      <c r="DO33" s="53">
        <v>75.308642000000006</v>
      </c>
      <c r="DP33" s="53">
        <v>80.1033592</v>
      </c>
      <c r="DQ33" s="53">
        <v>81.005586600000001</v>
      </c>
      <c r="DR33" s="53">
        <v>84.751773</v>
      </c>
      <c r="DS33" s="53">
        <v>86.341463399999995</v>
      </c>
      <c r="DT33" s="53">
        <v>84.868421100000006</v>
      </c>
      <c r="DU33" s="53">
        <v>79.661016900000007</v>
      </c>
      <c r="DV33" s="53">
        <v>76.530612200000007</v>
      </c>
      <c r="DW33" s="53">
        <v>65.555555600000005</v>
      </c>
      <c r="DX33" s="53">
        <v>73.589244600000001</v>
      </c>
    </row>
    <row r="34" spans="1:128" x14ac:dyDescent="0.2">
      <c r="A34" s="52">
        <v>30</v>
      </c>
      <c r="B34" s="50" t="s">
        <v>29</v>
      </c>
      <c r="C34" s="155">
        <v>59.59995</v>
      </c>
      <c r="D34" s="155">
        <v>62.941250000000004</v>
      </c>
      <c r="E34" s="155">
        <v>55.893979999999999</v>
      </c>
      <c r="F34" s="155">
        <v>56.362749999999991</v>
      </c>
      <c r="G34" s="155">
        <v>63.563440000000007</v>
      </c>
      <c r="H34" s="53">
        <v>60.816074399999998</v>
      </c>
      <c r="I34" s="53">
        <v>64.705347700000004</v>
      </c>
      <c r="J34" s="151">
        <v>66.056020000000004</v>
      </c>
      <c r="K34" s="151">
        <v>59.258920000000003</v>
      </c>
      <c r="L34" s="151">
        <v>52.758459999999999</v>
      </c>
      <c r="M34" s="151">
        <v>51.554969999999997</v>
      </c>
      <c r="N34" s="151">
        <v>56.827399999999997</v>
      </c>
      <c r="O34" s="151">
        <v>61.472819999999992</v>
      </c>
      <c r="P34" s="151">
        <v>65.868990000000011</v>
      </c>
      <c r="Q34" s="151">
        <v>68.142870000000002</v>
      </c>
      <c r="R34" s="151">
        <v>70.967110000000005</v>
      </c>
      <c r="S34" s="151">
        <v>71.621449999999996</v>
      </c>
      <c r="T34" s="151">
        <v>72.77713</v>
      </c>
      <c r="U34" s="151">
        <v>75.187979999999996</v>
      </c>
      <c r="V34" s="151">
        <v>72.939840000000004</v>
      </c>
      <c r="W34" s="151">
        <v>67.190489999999997</v>
      </c>
      <c r="X34" s="151">
        <v>56.294020000000003</v>
      </c>
      <c r="Y34" s="151">
        <v>37.172379999999997</v>
      </c>
      <c r="Z34" s="152">
        <v>62.941250000000004</v>
      </c>
      <c r="AA34" s="151">
        <v>58.152009999999997</v>
      </c>
      <c r="AB34" s="151">
        <v>51.055989999999994</v>
      </c>
      <c r="AC34" s="151">
        <v>42.177910000000004</v>
      </c>
      <c r="AD34" s="151">
        <v>39.007199999999997</v>
      </c>
      <c r="AE34" s="151">
        <v>44.883810000000004</v>
      </c>
      <c r="AF34" s="151">
        <v>50.370099999999994</v>
      </c>
      <c r="AG34" s="151">
        <v>55.618650000000002</v>
      </c>
      <c r="AH34" s="151">
        <v>60.034929999999996</v>
      </c>
      <c r="AI34" s="151">
        <v>65.14819</v>
      </c>
      <c r="AJ34" s="151">
        <v>68.533370000000005</v>
      </c>
      <c r="AK34" s="151">
        <v>72.476089999999999</v>
      </c>
      <c r="AL34" s="151">
        <v>76.908019999999993</v>
      </c>
      <c r="AM34" s="151">
        <v>77.208179999999999</v>
      </c>
      <c r="AN34" s="151">
        <v>75.410809999999998</v>
      </c>
      <c r="AO34" s="151">
        <v>67.328189999999992</v>
      </c>
      <c r="AP34" s="151">
        <v>50.814440000000005</v>
      </c>
      <c r="AQ34" s="152">
        <v>55.893979999999999</v>
      </c>
      <c r="AR34" s="151">
        <v>62.058789999999995</v>
      </c>
      <c r="AS34" s="151">
        <v>55.17333</v>
      </c>
      <c r="AT34" s="151">
        <v>47.493279999999999</v>
      </c>
      <c r="AU34" s="151">
        <v>45.425159999999998</v>
      </c>
      <c r="AV34" s="151">
        <v>51.126400000000004</v>
      </c>
      <c r="AW34" s="151">
        <v>56.241010000000003</v>
      </c>
      <c r="AX34" s="151">
        <v>61.113249999999994</v>
      </c>
      <c r="AY34" s="151">
        <v>64.375</v>
      </c>
      <c r="AZ34" s="151">
        <v>68.238439999999997</v>
      </c>
      <c r="BA34" s="151">
        <v>70.183059999999998</v>
      </c>
      <c r="BB34" s="151">
        <v>72.637590000000003</v>
      </c>
      <c r="BC34" s="151">
        <v>75.995809999999992</v>
      </c>
      <c r="BD34" s="151">
        <v>74.949860000000001</v>
      </c>
      <c r="BE34" s="151">
        <v>71.037239999999997</v>
      </c>
      <c r="BF34" s="151">
        <v>61.233360000000005</v>
      </c>
      <c r="BG34" s="151">
        <v>42.902419999999999</v>
      </c>
      <c r="BH34" s="152">
        <v>59.59995</v>
      </c>
      <c r="BI34" s="151">
        <v>61.237839999999998</v>
      </c>
      <c r="BJ34" s="151">
        <v>53.388930000000002</v>
      </c>
      <c r="BK34" s="151">
        <v>45.130769999999998</v>
      </c>
      <c r="BL34" s="151">
        <v>41.491720000000001</v>
      </c>
      <c r="BM34" s="151">
        <v>46.363779999999998</v>
      </c>
      <c r="BN34" s="151">
        <v>51.1965</v>
      </c>
      <c r="BO34" s="151">
        <v>56.826569999999997</v>
      </c>
      <c r="BP34" s="151">
        <v>60.27431</v>
      </c>
      <c r="BQ34" s="151">
        <v>64.734229999999997</v>
      </c>
      <c r="BR34" s="151">
        <v>66.974199999999996</v>
      </c>
      <c r="BS34" s="151">
        <v>70.453760000000003</v>
      </c>
      <c r="BT34" s="151">
        <v>74.020529999999994</v>
      </c>
      <c r="BU34" s="151">
        <v>72.778600000000012</v>
      </c>
      <c r="BV34" s="151">
        <v>68.556260000000009</v>
      </c>
      <c r="BW34" s="151">
        <v>58.966349999999998</v>
      </c>
      <c r="BX34" s="151">
        <v>40.746450000000003</v>
      </c>
      <c r="BY34" s="152">
        <v>56.362749999999991</v>
      </c>
      <c r="BZ34" s="151">
        <v>63.081980000000001</v>
      </c>
      <c r="CA34" s="151">
        <v>57.264329999999994</v>
      </c>
      <c r="CB34" s="151">
        <v>50.114660000000001</v>
      </c>
      <c r="CC34" s="151">
        <v>49.921480000000003</v>
      </c>
      <c r="CD34" s="151">
        <v>56.901780000000002</v>
      </c>
      <c r="CE34" s="151">
        <v>62.594479999999997</v>
      </c>
      <c r="CF34" s="151">
        <v>66.361959999999996</v>
      </c>
      <c r="CG34" s="151">
        <v>69.630279999999999</v>
      </c>
      <c r="CH34" s="151">
        <v>72.730260000000001</v>
      </c>
      <c r="CI34" s="151">
        <v>74.485010000000003</v>
      </c>
      <c r="CJ34" s="151">
        <v>75.553570000000008</v>
      </c>
      <c r="CK34" s="151">
        <v>78.606020000000001</v>
      </c>
      <c r="CL34" s="151">
        <v>77.655770000000004</v>
      </c>
      <c r="CM34" s="151">
        <v>73.851370000000003</v>
      </c>
      <c r="CN34" s="151">
        <v>63.724210000000006</v>
      </c>
      <c r="CO34" s="151">
        <v>45.22119</v>
      </c>
      <c r="CP34" s="152">
        <v>63.563440000000007</v>
      </c>
      <c r="CQ34" s="53">
        <v>61.004784700000002</v>
      </c>
      <c r="CR34" s="53">
        <v>55.923030699999998</v>
      </c>
      <c r="CS34" s="53">
        <v>49.6170391</v>
      </c>
      <c r="CT34" s="53">
        <v>48.136246800000002</v>
      </c>
      <c r="CU34" s="53">
        <v>54.052491599999996</v>
      </c>
      <c r="CV34" s="53">
        <v>58.522656699999999</v>
      </c>
      <c r="CW34" s="53">
        <v>63.153755400000001</v>
      </c>
      <c r="CX34" s="53">
        <v>65.277192999999997</v>
      </c>
      <c r="CY34" s="53">
        <v>69.253453399999998</v>
      </c>
      <c r="CZ34" s="53">
        <v>72.0720721</v>
      </c>
      <c r="DA34" s="53">
        <v>72.089277500000009</v>
      </c>
      <c r="DB34" s="53">
        <v>76.186317299999999</v>
      </c>
      <c r="DC34" s="53">
        <v>75.765907299999995</v>
      </c>
      <c r="DD34" s="53">
        <v>73.886068800000004</v>
      </c>
      <c r="DE34" s="53">
        <v>62.912308899999999</v>
      </c>
      <c r="DF34" s="53">
        <v>43.922651899999998</v>
      </c>
      <c r="DG34" s="53">
        <v>60.816074399999998</v>
      </c>
      <c r="DH34" s="53">
        <v>63.984819699999996</v>
      </c>
      <c r="DI34" s="53">
        <v>57.570043099999999</v>
      </c>
      <c r="DJ34" s="53">
        <v>49.997725500000001</v>
      </c>
      <c r="DK34" s="53">
        <v>50.483488399999999</v>
      </c>
      <c r="DL34" s="53">
        <v>58.244352600000006</v>
      </c>
      <c r="DM34" s="53">
        <v>64.529592499999993</v>
      </c>
      <c r="DN34" s="53">
        <v>67.879681500000004</v>
      </c>
      <c r="DO34" s="53">
        <v>71.50069959999999</v>
      </c>
      <c r="DP34" s="53">
        <v>74.278302500000009</v>
      </c>
      <c r="DQ34" s="53">
        <v>75.463391999999999</v>
      </c>
      <c r="DR34" s="53">
        <v>77.105831499999994</v>
      </c>
      <c r="DS34" s="53">
        <v>79.4606742</v>
      </c>
      <c r="DT34" s="53">
        <v>78.182822399999992</v>
      </c>
      <c r="DU34" s="53">
        <v>73.619859200000008</v>
      </c>
      <c r="DV34" s="53">
        <v>63.921052599999996</v>
      </c>
      <c r="DW34" s="53">
        <v>45.449390399999999</v>
      </c>
      <c r="DX34" s="53">
        <v>64.705347700000004</v>
      </c>
    </row>
    <row r="35" spans="1:128" x14ac:dyDescent="0.2">
      <c r="A35" s="52">
        <v>31</v>
      </c>
      <c r="B35" s="50" t="s">
        <v>30</v>
      </c>
      <c r="C35" s="155">
        <v>62.883940000000003</v>
      </c>
      <c r="D35" s="155">
        <v>66.396230000000003</v>
      </c>
      <c r="E35" s="155">
        <v>59.174390000000002</v>
      </c>
      <c r="F35" s="155">
        <v>58.570390000000003</v>
      </c>
      <c r="G35" s="155">
        <v>76.798829999999995</v>
      </c>
      <c r="H35" s="53">
        <v>74.719257200000001</v>
      </c>
      <c r="I35" s="53">
        <v>82.309005499999998</v>
      </c>
      <c r="J35" s="151">
        <v>70.988510000000005</v>
      </c>
      <c r="K35" s="151">
        <v>65.530720000000002</v>
      </c>
      <c r="L35" s="151">
        <v>59.515450000000001</v>
      </c>
      <c r="M35" s="151">
        <v>58.106749999999998</v>
      </c>
      <c r="N35" s="151">
        <v>60.926699999999997</v>
      </c>
      <c r="O35" s="151">
        <v>65.696669999999997</v>
      </c>
      <c r="P35" s="151">
        <v>69.643639999999991</v>
      </c>
      <c r="Q35" s="151">
        <v>70.902200000000008</v>
      </c>
      <c r="R35" s="151">
        <v>72.932850000000002</v>
      </c>
      <c r="S35" s="151">
        <v>73.994929999999997</v>
      </c>
      <c r="T35" s="151">
        <v>76.768329999999992</v>
      </c>
      <c r="U35" s="151">
        <v>77.186959999999999</v>
      </c>
      <c r="V35" s="151">
        <v>71.956240000000008</v>
      </c>
      <c r="W35" s="151">
        <v>64.586730000000003</v>
      </c>
      <c r="X35" s="151">
        <v>55.906599999999997</v>
      </c>
      <c r="Y35" s="151">
        <v>37.494100000000003</v>
      </c>
      <c r="Z35" s="152">
        <v>66.396230000000003</v>
      </c>
      <c r="AA35" s="151">
        <v>64.011060000000001</v>
      </c>
      <c r="AB35" s="151">
        <v>57.25911</v>
      </c>
      <c r="AC35" s="151">
        <v>51.947120000000005</v>
      </c>
      <c r="AD35" s="151">
        <v>48.523470000000003</v>
      </c>
      <c r="AE35" s="151">
        <v>51.482570000000003</v>
      </c>
      <c r="AF35" s="151">
        <v>54.944440000000007</v>
      </c>
      <c r="AG35" s="151">
        <v>58.7776</v>
      </c>
      <c r="AH35" s="151">
        <v>63.131489999999999</v>
      </c>
      <c r="AI35" s="151">
        <v>66.329859999999996</v>
      </c>
      <c r="AJ35" s="151">
        <v>68.253489999999999</v>
      </c>
      <c r="AK35" s="151">
        <v>73.535799999999995</v>
      </c>
      <c r="AL35" s="151">
        <v>75.17407</v>
      </c>
      <c r="AM35" s="151">
        <v>76.659689999999998</v>
      </c>
      <c r="AN35" s="151">
        <v>69.591080000000005</v>
      </c>
      <c r="AO35" s="151">
        <v>62.282449999999997</v>
      </c>
      <c r="AP35" s="151">
        <v>41.586780000000005</v>
      </c>
      <c r="AQ35" s="152">
        <v>59.174390000000002</v>
      </c>
      <c r="AR35" s="151">
        <v>67.447929999999999</v>
      </c>
      <c r="AS35" s="151">
        <v>61.308549999999997</v>
      </c>
      <c r="AT35" s="151">
        <v>55.699869999999997</v>
      </c>
      <c r="AU35" s="151">
        <v>53.28575</v>
      </c>
      <c r="AV35" s="151">
        <v>56.293459999999996</v>
      </c>
      <c r="AW35" s="151">
        <v>60.440890000000003</v>
      </c>
      <c r="AX35" s="151">
        <v>64.39755000000001</v>
      </c>
      <c r="AY35" s="151">
        <v>67.183530000000005</v>
      </c>
      <c r="AZ35" s="151">
        <v>69.846689999999995</v>
      </c>
      <c r="BA35" s="151">
        <v>71.277479999999997</v>
      </c>
      <c r="BB35" s="151">
        <v>75.22820999999999</v>
      </c>
      <c r="BC35" s="151">
        <v>76.217610000000008</v>
      </c>
      <c r="BD35" s="151">
        <v>74.210480000000004</v>
      </c>
      <c r="BE35" s="151">
        <v>66.92389</v>
      </c>
      <c r="BF35" s="151">
        <v>58.888039999999997</v>
      </c>
      <c r="BG35" s="151">
        <v>39.259540000000001</v>
      </c>
      <c r="BH35" s="152">
        <v>62.883940000000003</v>
      </c>
      <c r="BI35" s="151">
        <v>64.01527999999999</v>
      </c>
      <c r="BJ35" s="151">
        <v>56.542990000000003</v>
      </c>
      <c r="BK35" s="151">
        <v>50.617429999999999</v>
      </c>
      <c r="BL35" s="151">
        <v>47.357690000000005</v>
      </c>
      <c r="BM35" s="151">
        <v>50.726459999999996</v>
      </c>
      <c r="BN35" s="151">
        <v>55.448470000000007</v>
      </c>
      <c r="BO35" s="151">
        <v>59.784440000000004</v>
      </c>
      <c r="BP35" s="151">
        <v>62.811399999999992</v>
      </c>
      <c r="BQ35" s="151">
        <v>66.623149999999995</v>
      </c>
      <c r="BR35" s="151">
        <v>68.080070000000006</v>
      </c>
      <c r="BS35" s="151">
        <v>72.393379999999993</v>
      </c>
      <c r="BT35" s="151">
        <v>73.452820000000003</v>
      </c>
      <c r="BU35" s="151">
        <v>71.286439999999999</v>
      </c>
      <c r="BV35" s="151">
        <v>64.540390000000002</v>
      </c>
      <c r="BW35" s="151">
        <v>56.558640000000004</v>
      </c>
      <c r="BX35" s="151">
        <v>36.668520000000001</v>
      </c>
      <c r="BY35" s="152">
        <v>58.570390000000003</v>
      </c>
      <c r="BZ35" s="151">
        <v>77.851190000000003</v>
      </c>
      <c r="CA35" s="151">
        <v>75.080329999999989</v>
      </c>
      <c r="CB35" s="151">
        <v>70.741810000000001</v>
      </c>
      <c r="CC35" s="151">
        <v>71.803349999999995</v>
      </c>
      <c r="CD35" s="151">
        <v>74.230739999999997</v>
      </c>
      <c r="CE35" s="151">
        <v>75.923490000000001</v>
      </c>
      <c r="CF35" s="151">
        <v>78.372430000000008</v>
      </c>
      <c r="CG35" s="151">
        <v>81.344679999999997</v>
      </c>
      <c r="CH35" s="151">
        <v>81.60154</v>
      </c>
      <c r="CI35" s="151">
        <v>82.828760000000003</v>
      </c>
      <c r="CJ35" s="151">
        <v>85.037289999999999</v>
      </c>
      <c r="CK35" s="151">
        <v>85.345830000000007</v>
      </c>
      <c r="CL35" s="151">
        <v>84.202629999999999</v>
      </c>
      <c r="CM35" s="151">
        <v>76.304540000000003</v>
      </c>
      <c r="CN35" s="151">
        <v>66.7196</v>
      </c>
      <c r="CO35" s="151">
        <v>47.930240000000005</v>
      </c>
      <c r="CP35" s="152">
        <v>76.798829999999995</v>
      </c>
      <c r="CQ35" s="53">
        <v>73.724489800000001</v>
      </c>
      <c r="CR35" s="53">
        <v>72.291296599999995</v>
      </c>
      <c r="CS35" s="53">
        <v>67.527910700000007</v>
      </c>
      <c r="CT35" s="53">
        <v>69.384413899999998</v>
      </c>
      <c r="CU35" s="53">
        <v>71.544428800000006</v>
      </c>
      <c r="CV35" s="53">
        <v>73.922491899999997</v>
      </c>
      <c r="CW35" s="53">
        <v>75.91036410000001</v>
      </c>
      <c r="CX35" s="53">
        <v>79.519106899999997</v>
      </c>
      <c r="CY35" s="53">
        <v>80.354083399999993</v>
      </c>
      <c r="CZ35" s="53">
        <v>81.493506499999995</v>
      </c>
      <c r="DA35" s="53">
        <v>83.465818800000008</v>
      </c>
      <c r="DB35" s="53">
        <v>83.395176300000003</v>
      </c>
      <c r="DC35" s="53">
        <v>83.573141500000006</v>
      </c>
      <c r="DD35" s="53">
        <v>75.833333300000007</v>
      </c>
      <c r="DE35" s="53">
        <v>68.406593400000006</v>
      </c>
      <c r="DF35" s="53">
        <v>48.318042800000001</v>
      </c>
      <c r="DG35" s="53">
        <v>74.719257200000001</v>
      </c>
      <c r="DH35" s="53">
        <v>87.195121999999998</v>
      </c>
      <c r="DI35" s="53">
        <v>82.568807300000003</v>
      </c>
      <c r="DJ35" s="53">
        <v>78.822567499999991</v>
      </c>
      <c r="DK35" s="53">
        <v>77.768594999999991</v>
      </c>
      <c r="DL35" s="53">
        <v>81.386514700000006</v>
      </c>
      <c r="DM35" s="53">
        <v>81.972428399999998</v>
      </c>
      <c r="DN35" s="53">
        <v>84.319526600000003</v>
      </c>
      <c r="DO35" s="53">
        <v>86.202964699999995</v>
      </c>
      <c r="DP35" s="53">
        <v>85.072231099999996</v>
      </c>
      <c r="DQ35" s="53">
        <v>86.497064600000002</v>
      </c>
      <c r="DR35" s="53">
        <v>89.125799599999993</v>
      </c>
      <c r="DS35" s="53">
        <v>90.441176499999997</v>
      </c>
      <c r="DT35" s="53">
        <v>85.815602800000008</v>
      </c>
      <c r="DU35" s="53">
        <v>77.380952399999998</v>
      </c>
      <c r="DV35" s="53">
        <v>61.016949200000006</v>
      </c>
      <c r="DW35" s="53">
        <v>46.153846199999997</v>
      </c>
      <c r="DX35" s="53">
        <v>82.309005499999998</v>
      </c>
    </row>
    <row r="36" spans="1:128" x14ac:dyDescent="0.2">
      <c r="A36" s="52">
        <v>32</v>
      </c>
      <c r="B36" s="50" t="s">
        <v>31</v>
      </c>
      <c r="C36" s="155">
        <v>55.903440000000003</v>
      </c>
      <c r="D36" s="155">
        <v>61.139679999999998</v>
      </c>
      <c r="E36" s="155">
        <v>50.371690000000001</v>
      </c>
      <c r="F36" s="155">
        <v>55.330020000000005</v>
      </c>
      <c r="G36" s="155">
        <v>56.474699999999999</v>
      </c>
      <c r="H36" s="53">
        <v>52.572394499999994</v>
      </c>
      <c r="I36" s="53">
        <v>59.488370700000004</v>
      </c>
      <c r="J36" s="151">
        <v>63.575700000000005</v>
      </c>
      <c r="K36" s="151">
        <v>59.847360000000002</v>
      </c>
      <c r="L36" s="151">
        <v>53.673340000000003</v>
      </c>
      <c r="M36" s="151">
        <v>52.449170000000002</v>
      </c>
      <c r="N36" s="151">
        <v>57.722349999999999</v>
      </c>
      <c r="O36" s="151">
        <v>62.270890000000001</v>
      </c>
      <c r="P36" s="151">
        <v>65.717470000000006</v>
      </c>
      <c r="Q36" s="151">
        <v>67.080890000000011</v>
      </c>
      <c r="R36" s="151">
        <v>68.642040000000009</v>
      </c>
      <c r="S36" s="151">
        <v>67.795749999999998</v>
      </c>
      <c r="T36" s="151">
        <v>67.866470000000007</v>
      </c>
      <c r="U36" s="151">
        <v>67.579089999999994</v>
      </c>
      <c r="V36" s="151">
        <v>64.69080000000001</v>
      </c>
      <c r="W36" s="151">
        <v>62.131639999999997</v>
      </c>
      <c r="X36" s="151">
        <v>51.186390000000003</v>
      </c>
      <c r="Y36" s="151">
        <v>31.816070000000003</v>
      </c>
      <c r="Z36" s="152">
        <v>61.139679999999998</v>
      </c>
      <c r="AA36" s="151">
        <v>54.919589999999999</v>
      </c>
      <c r="AB36" s="151">
        <v>48.111399999999996</v>
      </c>
      <c r="AC36" s="151">
        <v>39.833509999999997</v>
      </c>
      <c r="AD36" s="151">
        <v>37.298989999999996</v>
      </c>
      <c r="AE36" s="151">
        <v>41.668979999999998</v>
      </c>
      <c r="AF36" s="151">
        <v>45.416530000000002</v>
      </c>
      <c r="AG36" s="151">
        <v>50.940860000000001</v>
      </c>
      <c r="AH36" s="151">
        <v>56.845920000000007</v>
      </c>
      <c r="AI36" s="151">
        <v>57.682520000000004</v>
      </c>
      <c r="AJ36" s="151">
        <v>60.967950000000002</v>
      </c>
      <c r="AK36" s="151">
        <v>61.509050000000002</v>
      </c>
      <c r="AL36" s="151">
        <v>66.600859999999997</v>
      </c>
      <c r="AM36" s="151">
        <v>65.807540000000003</v>
      </c>
      <c r="AN36" s="151">
        <v>64.372029999999995</v>
      </c>
      <c r="AO36" s="151">
        <v>62.398879999999998</v>
      </c>
      <c r="AP36" s="151">
        <v>45.801459999999999</v>
      </c>
      <c r="AQ36" s="152">
        <v>50.371690000000001</v>
      </c>
      <c r="AR36" s="151">
        <v>59.206400000000002</v>
      </c>
      <c r="AS36" s="151">
        <v>53.861559999999997</v>
      </c>
      <c r="AT36" s="151">
        <v>46.85069</v>
      </c>
      <c r="AU36" s="151">
        <v>44.867220000000003</v>
      </c>
      <c r="AV36" s="151">
        <v>50.001450000000006</v>
      </c>
      <c r="AW36" s="151">
        <v>54.14631</v>
      </c>
      <c r="AX36" s="151">
        <v>58.526359999999997</v>
      </c>
      <c r="AY36" s="151">
        <v>62.071899999999999</v>
      </c>
      <c r="AZ36" s="151">
        <v>63.484899999999996</v>
      </c>
      <c r="BA36" s="151">
        <v>64.540109999999999</v>
      </c>
      <c r="BB36" s="151">
        <v>64.818899999999999</v>
      </c>
      <c r="BC36" s="151">
        <v>67.106180000000009</v>
      </c>
      <c r="BD36" s="151">
        <v>65.241190000000003</v>
      </c>
      <c r="BE36" s="151">
        <v>63.238030000000002</v>
      </c>
      <c r="BF36" s="151">
        <v>56.583199999999998</v>
      </c>
      <c r="BG36" s="151">
        <v>38.159510000000004</v>
      </c>
      <c r="BH36" s="152">
        <v>55.903440000000003</v>
      </c>
      <c r="BI36" s="151">
        <v>57.614290000000004</v>
      </c>
      <c r="BJ36" s="151">
        <v>52.306529999999995</v>
      </c>
      <c r="BK36" s="151">
        <v>45.567329999999998</v>
      </c>
      <c r="BL36" s="151">
        <v>43.297750000000001</v>
      </c>
      <c r="BM36" s="151">
        <v>47.720659999999995</v>
      </c>
      <c r="BN36" s="151">
        <v>52.157929999999993</v>
      </c>
      <c r="BO36" s="151">
        <v>56.961839999999995</v>
      </c>
      <c r="BP36" s="151">
        <v>61.587610000000005</v>
      </c>
      <c r="BQ36" s="151">
        <v>64.182490000000001</v>
      </c>
      <c r="BR36" s="151">
        <v>66.174759999999992</v>
      </c>
      <c r="BS36" s="151">
        <v>66.440439999999995</v>
      </c>
      <c r="BT36" s="151">
        <v>69.058050000000009</v>
      </c>
      <c r="BU36" s="151">
        <v>66.478020000000001</v>
      </c>
      <c r="BV36" s="151">
        <v>64.202349999999996</v>
      </c>
      <c r="BW36" s="151">
        <v>56.330280000000002</v>
      </c>
      <c r="BX36" s="151">
        <v>37.690049999999999</v>
      </c>
      <c r="BY36" s="152">
        <v>55.330020000000005</v>
      </c>
      <c r="BZ36" s="151">
        <v>60.889530000000001</v>
      </c>
      <c r="CA36" s="151">
        <v>55.477069999999998</v>
      </c>
      <c r="CB36" s="151">
        <v>48.135460000000002</v>
      </c>
      <c r="CC36" s="151">
        <v>46.45964</v>
      </c>
      <c r="CD36" s="151">
        <v>52.318509999999996</v>
      </c>
      <c r="CE36" s="151">
        <v>56.110810000000001</v>
      </c>
      <c r="CF36" s="151">
        <v>60.058679999999995</v>
      </c>
      <c r="CG36" s="151">
        <v>62.553709999999995</v>
      </c>
      <c r="CH36" s="151">
        <v>62.733079999999994</v>
      </c>
      <c r="CI36" s="151">
        <v>62.788270000000004</v>
      </c>
      <c r="CJ36" s="151">
        <v>63.091920000000002</v>
      </c>
      <c r="CK36" s="151">
        <v>65.135149999999996</v>
      </c>
      <c r="CL36" s="151">
        <v>64.118790000000004</v>
      </c>
      <c r="CM36" s="151">
        <v>62.487669999999994</v>
      </c>
      <c r="CN36" s="151">
        <v>56.771009999999997</v>
      </c>
      <c r="CO36" s="151">
        <v>38.50367</v>
      </c>
      <c r="CP36" s="152">
        <v>56.474699999999999</v>
      </c>
      <c r="CQ36" s="53">
        <v>55.4603854</v>
      </c>
      <c r="CR36" s="53">
        <v>50.090744099999995</v>
      </c>
      <c r="CS36" s="53">
        <v>44.616761100000005</v>
      </c>
      <c r="CT36" s="53">
        <v>41.539838899999999</v>
      </c>
      <c r="CU36" s="53">
        <v>46.804951500000001</v>
      </c>
      <c r="CV36" s="53">
        <v>51.111895500000003</v>
      </c>
      <c r="CW36" s="53">
        <v>55.981417</v>
      </c>
      <c r="CX36" s="53">
        <v>57.481898600000001</v>
      </c>
      <c r="CY36" s="53">
        <v>60.404896399999998</v>
      </c>
      <c r="CZ36" s="53">
        <v>61.292166999999999</v>
      </c>
      <c r="DA36" s="53">
        <v>60.173160199999998</v>
      </c>
      <c r="DB36" s="53">
        <v>65.653775299999992</v>
      </c>
      <c r="DC36" s="53">
        <v>62.175525300000004</v>
      </c>
      <c r="DD36" s="53">
        <v>59.253499200000007</v>
      </c>
      <c r="DE36" s="53">
        <v>56.481481499999994</v>
      </c>
      <c r="DF36" s="53">
        <v>35.405405399999999</v>
      </c>
      <c r="DG36" s="53">
        <v>52.572394499999994</v>
      </c>
      <c r="DH36" s="53">
        <v>66.972477100000006</v>
      </c>
      <c r="DI36" s="53">
        <v>60.4166667</v>
      </c>
      <c r="DJ36" s="53">
        <v>51.456310699999996</v>
      </c>
      <c r="DK36" s="53">
        <v>50.830208899999995</v>
      </c>
      <c r="DL36" s="53">
        <v>57.446153799999998</v>
      </c>
      <c r="DM36" s="53">
        <v>60.745176300000004</v>
      </c>
      <c r="DN36" s="53">
        <v>63.490401399999996</v>
      </c>
      <c r="DO36" s="53">
        <v>66.57391299999999</v>
      </c>
      <c r="DP36" s="53">
        <v>64.271214000000001</v>
      </c>
      <c r="DQ36" s="53">
        <v>63.343764</v>
      </c>
      <c r="DR36" s="53">
        <v>64.667393699999991</v>
      </c>
      <c r="DS36" s="53">
        <v>63.636363600000003</v>
      </c>
      <c r="DT36" s="53">
        <v>64.368650200000005</v>
      </c>
      <c r="DU36" s="53">
        <v>63.580246900000006</v>
      </c>
      <c r="DV36" s="53">
        <v>56.594724200000002</v>
      </c>
      <c r="DW36" s="53">
        <v>39.2405063</v>
      </c>
      <c r="DX36" s="53">
        <v>59.488370700000004</v>
      </c>
    </row>
    <row r="37" spans="1:128" s="50" customFormat="1" x14ac:dyDescent="0.2">
      <c r="A37" s="95">
        <v>33</v>
      </c>
      <c r="B37" s="50" t="s">
        <v>32</v>
      </c>
      <c r="C37" s="157">
        <v>51.8</v>
      </c>
      <c r="D37" s="156">
        <v>55.661649999999995</v>
      </c>
      <c r="E37" s="156">
        <v>47.748530000000002</v>
      </c>
      <c r="F37" s="156">
        <v>50.137699999999995</v>
      </c>
      <c r="G37" s="156">
        <v>55.631299999999996</v>
      </c>
      <c r="H37" s="55">
        <v>52.122418800000005</v>
      </c>
      <c r="I37" s="55">
        <v>58.521409499999997</v>
      </c>
      <c r="J37" s="153">
        <v>59</v>
      </c>
      <c r="K37" s="153">
        <v>52.6</v>
      </c>
      <c r="L37" s="152">
        <v>46.270209999999999</v>
      </c>
      <c r="M37" s="152">
        <v>45.031870000000005</v>
      </c>
      <c r="N37" s="152">
        <v>48.756970000000003</v>
      </c>
      <c r="O37" s="152">
        <v>53.598040000000005</v>
      </c>
      <c r="P37" s="152">
        <v>58.091300000000004</v>
      </c>
      <c r="Q37" s="152">
        <v>61.148769999999999</v>
      </c>
      <c r="R37" s="152">
        <v>63.832199999999993</v>
      </c>
      <c r="S37" s="152">
        <v>65.433199999999999</v>
      </c>
      <c r="T37" s="152">
        <v>66.911200000000008</v>
      </c>
      <c r="U37" s="152">
        <v>68.351050000000001</v>
      </c>
      <c r="V37" s="152">
        <v>66.155540000000002</v>
      </c>
      <c r="W37" s="152">
        <v>60.351750000000003</v>
      </c>
      <c r="X37" s="152">
        <v>50.355830000000005</v>
      </c>
      <c r="Y37" s="152">
        <v>32.210139999999996</v>
      </c>
      <c r="Z37" s="152">
        <v>55.661649999999995</v>
      </c>
      <c r="AA37" s="153">
        <v>52.5</v>
      </c>
      <c r="AB37" s="153">
        <v>45.2</v>
      </c>
      <c r="AC37" s="152">
        <v>37.175960000000003</v>
      </c>
      <c r="AD37" s="152">
        <v>34.169559999999997</v>
      </c>
      <c r="AE37" s="152">
        <v>37.577950000000001</v>
      </c>
      <c r="AF37" s="152">
        <v>42.222110000000001</v>
      </c>
      <c r="AG37" s="152">
        <v>47.47363</v>
      </c>
      <c r="AH37" s="152">
        <v>52.273139999999998</v>
      </c>
      <c r="AI37" s="152">
        <v>56.382659999999994</v>
      </c>
      <c r="AJ37" s="152">
        <v>60.034580000000005</v>
      </c>
      <c r="AK37" s="152">
        <v>64.295659999999998</v>
      </c>
      <c r="AL37" s="152">
        <v>68.46811000000001</v>
      </c>
      <c r="AM37" s="152">
        <v>69.318129999999996</v>
      </c>
      <c r="AN37" s="152">
        <v>65.999989999999997</v>
      </c>
      <c r="AO37" s="152">
        <v>58.963290000000001</v>
      </c>
      <c r="AP37" s="152">
        <v>41.293880000000001</v>
      </c>
      <c r="AQ37" s="152">
        <v>47.748530000000002</v>
      </c>
      <c r="AR37" s="154">
        <v>55.754649999999998</v>
      </c>
      <c r="AS37" s="154">
        <v>48.909689999999998</v>
      </c>
      <c r="AT37" s="152">
        <v>41.726419999999997</v>
      </c>
      <c r="AU37" s="152">
        <v>39.612760000000002</v>
      </c>
      <c r="AV37" s="152">
        <v>43.274210000000004</v>
      </c>
      <c r="AW37" s="152">
        <v>48.080950000000001</v>
      </c>
      <c r="AX37" s="152">
        <v>52.984079999999999</v>
      </c>
      <c r="AY37" s="152">
        <v>56.900720000000007</v>
      </c>
      <c r="AZ37" s="152">
        <v>60.303580000000004</v>
      </c>
      <c r="BA37" s="152">
        <v>62.90643</v>
      </c>
      <c r="BB37" s="152">
        <v>65.692039999999992</v>
      </c>
      <c r="BC37" s="152">
        <v>68.405439999999999</v>
      </c>
      <c r="BD37" s="152">
        <v>67.618359999999996</v>
      </c>
      <c r="BE37" s="152">
        <v>62.918819999999997</v>
      </c>
      <c r="BF37" s="152">
        <v>54.135330000000003</v>
      </c>
      <c r="BG37" s="152">
        <v>35.916110000000003</v>
      </c>
      <c r="BH37" s="157">
        <v>51.8</v>
      </c>
      <c r="BI37" s="153">
        <v>54.5</v>
      </c>
      <c r="BJ37" s="153">
        <v>47.3</v>
      </c>
      <c r="BK37" s="153">
        <v>39.700000000000003</v>
      </c>
      <c r="BL37" s="153">
        <v>36.9</v>
      </c>
      <c r="BM37" s="153">
        <v>40.1</v>
      </c>
      <c r="BN37" s="153">
        <v>45.1</v>
      </c>
      <c r="BO37" s="153">
        <v>50.4</v>
      </c>
      <c r="BP37" s="153">
        <v>54.9</v>
      </c>
      <c r="BQ37" s="153">
        <v>58.7</v>
      </c>
      <c r="BR37" s="153">
        <v>61.6</v>
      </c>
      <c r="BS37" s="153">
        <v>65.099999999999994</v>
      </c>
      <c r="BT37" s="153">
        <v>68</v>
      </c>
      <c r="BU37" s="153">
        <v>67.2</v>
      </c>
      <c r="BV37" s="153">
        <v>62.5</v>
      </c>
      <c r="BW37" s="153">
        <v>53.7</v>
      </c>
      <c r="BX37" s="153">
        <v>35.4</v>
      </c>
      <c r="BY37" s="152">
        <v>50.137699999999995</v>
      </c>
      <c r="BZ37" s="153">
        <v>58.5</v>
      </c>
      <c r="CA37" s="153">
        <v>52.2</v>
      </c>
      <c r="CB37" s="153">
        <v>45.8</v>
      </c>
      <c r="CC37" s="153">
        <v>45.2</v>
      </c>
      <c r="CD37" s="153">
        <v>50.1</v>
      </c>
      <c r="CE37" s="153">
        <v>54.4</v>
      </c>
      <c r="CF37" s="153">
        <v>58.6</v>
      </c>
      <c r="CG37" s="153">
        <v>61.6</v>
      </c>
      <c r="CH37" s="153">
        <v>64.099999999999994</v>
      </c>
      <c r="CI37" s="153">
        <v>66</v>
      </c>
      <c r="CJ37" s="153">
        <v>66.900000000000006</v>
      </c>
      <c r="CK37" s="153">
        <v>69.2</v>
      </c>
      <c r="CL37" s="153">
        <v>68.3</v>
      </c>
      <c r="CM37" s="153">
        <v>63.6</v>
      </c>
      <c r="CN37" s="153">
        <v>54.9</v>
      </c>
      <c r="CO37" s="153">
        <v>36.799999999999997</v>
      </c>
      <c r="CP37" s="152">
        <v>55.631299999999996</v>
      </c>
      <c r="CQ37" s="55">
        <v>55.319572200000003</v>
      </c>
      <c r="CR37" s="55">
        <v>48.613073299999996</v>
      </c>
      <c r="CS37" s="55">
        <v>42.527871400000002</v>
      </c>
      <c r="CT37" s="55">
        <v>41.448060699999999</v>
      </c>
      <c r="CU37" s="55">
        <v>45.351794499999997</v>
      </c>
      <c r="CV37" s="55">
        <v>49.811966300000002</v>
      </c>
      <c r="CW37" s="55">
        <v>54.481896900000002</v>
      </c>
      <c r="CX37" s="55">
        <v>57.441610300000001</v>
      </c>
      <c r="CY37" s="55">
        <v>60.701790499999994</v>
      </c>
      <c r="CZ37" s="55">
        <v>63.261812200000001</v>
      </c>
      <c r="DA37" s="55">
        <v>64.5748289</v>
      </c>
      <c r="DB37" s="55">
        <v>66.749343800000005</v>
      </c>
      <c r="DC37" s="55">
        <v>66.3380796</v>
      </c>
      <c r="DD37" s="55">
        <v>61.775362300000005</v>
      </c>
      <c r="DE37" s="55">
        <v>53.877643799999994</v>
      </c>
      <c r="DF37" s="55">
        <v>36.149778099999999</v>
      </c>
      <c r="DG37" s="55">
        <v>52.122418800000005</v>
      </c>
      <c r="DH37" s="55">
        <v>61.425767899999997</v>
      </c>
      <c r="DI37" s="55">
        <v>55.276515400000001</v>
      </c>
      <c r="DJ37" s="55">
        <v>48.269365499999999</v>
      </c>
      <c r="DK37" s="55">
        <v>48.112400799999996</v>
      </c>
      <c r="DL37" s="55">
        <v>53.950089800000001</v>
      </c>
      <c r="DM37" s="55">
        <v>58.405867399999998</v>
      </c>
      <c r="DN37" s="55">
        <v>62.032820600000008</v>
      </c>
      <c r="DO37" s="55">
        <v>65.093774400000001</v>
      </c>
      <c r="DP37" s="55">
        <v>66.815912099999991</v>
      </c>
      <c r="DQ37" s="55">
        <v>68.046219699999995</v>
      </c>
      <c r="DR37" s="55">
        <v>68.687304100000006</v>
      </c>
      <c r="DS37" s="55">
        <v>70.818933999999999</v>
      </c>
      <c r="DT37" s="55">
        <v>69.522766799999999</v>
      </c>
      <c r="DU37" s="55">
        <v>64.71372749999999</v>
      </c>
      <c r="DV37" s="55">
        <v>55.464659699999999</v>
      </c>
      <c r="DW37" s="55">
        <v>37.161110899999997</v>
      </c>
      <c r="DX37" s="55">
        <v>58.521409499999997</v>
      </c>
    </row>
  </sheetData>
  <mergeCells count="7">
    <mergeCell ref="CQ3:DG3"/>
    <mergeCell ref="DH3:DX3"/>
    <mergeCell ref="J3:Z3"/>
    <mergeCell ref="AA3:AQ3"/>
    <mergeCell ref="AR3:BH3"/>
    <mergeCell ref="BZ3:CP3"/>
    <mergeCell ref="BI3:BY3"/>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02EB72-6FBF-434A-88CB-7E7C1FAA08F0}">
  <dimension ref="A1:BU38"/>
  <sheetViews>
    <sheetView showGridLines="0" topLeftCell="BE1" workbookViewId="0">
      <selection activeCell="BW1" sqref="BW1"/>
    </sheetView>
  </sheetViews>
  <sheetFormatPr baseColWidth="10" defaultRowHeight="10.199999999999999" x14ac:dyDescent="0.2"/>
  <cols>
    <col min="2" max="2" width="27.140625" bestFit="1" customWidth="1"/>
    <col min="38" max="38" width="4.140625" customWidth="1"/>
  </cols>
  <sheetData>
    <row r="1" spans="1:73" ht="10.8" thickBot="1" x14ac:dyDescent="0.25">
      <c r="A1">
        <v>1</v>
      </c>
      <c r="B1">
        <v>2</v>
      </c>
      <c r="C1">
        <v>3</v>
      </c>
      <c r="D1">
        <v>4</v>
      </c>
      <c r="E1">
        <v>5</v>
      </c>
      <c r="F1">
        <v>6</v>
      </c>
      <c r="G1">
        <v>7</v>
      </c>
      <c r="H1">
        <v>8</v>
      </c>
      <c r="I1">
        <v>9</v>
      </c>
      <c r="J1">
        <v>10</v>
      </c>
      <c r="K1">
        <v>11</v>
      </c>
      <c r="L1">
        <v>12</v>
      </c>
      <c r="M1">
        <v>13</v>
      </c>
      <c r="N1">
        <v>14</v>
      </c>
      <c r="O1">
        <v>15</v>
      </c>
      <c r="P1">
        <v>16</v>
      </c>
      <c r="Q1">
        <v>17</v>
      </c>
      <c r="R1">
        <v>18</v>
      </c>
      <c r="S1">
        <v>19</v>
      </c>
      <c r="T1">
        <v>20</v>
      </c>
      <c r="U1">
        <v>21</v>
      </c>
      <c r="V1">
        <v>22</v>
      </c>
      <c r="W1">
        <v>23</v>
      </c>
      <c r="X1">
        <v>24</v>
      </c>
      <c r="Y1">
        <v>25</v>
      </c>
      <c r="Z1">
        <v>26</v>
      </c>
      <c r="AA1">
        <v>27</v>
      </c>
      <c r="AB1">
        <v>28</v>
      </c>
      <c r="AC1">
        <v>29</v>
      </c>
      <c r="AD1">
        <v>30</v>
      </c>
      <c r="AE1">
        <v>31</v>
      </c>
      <c r="AF1">
        <v>32</v>
      </c>
      <c r="AG1">
        <v>33</v>
      </c>
      <c r="AH1">
        <v>34</v>
      </c>
      <c r="AI1">
        <v>35</v>
      </c>
      <c r="AJ1">
        <v>36</v>
      </c>
      <c r="AK1">
        <v>37</v>
      </c>
      <c r="AL1">
        <v>38</v>
      </c>
      <c r="AM1">
        <v>39</v>
      </c>
      <c r="AN1">
        <v>40</v>
      </c>
      <c r="AO1">
        <v>41</v>
      </c>
      <c r="AP1">
        <v>42</v>
      </c>
      <c r="AQ1">
        <v>43</v>
      </c>
      <c r="AR1">
        <v>44</v>
      </c>
      <c r="AS1">
        <v>45</v>
      </c>
      <c r="AT1">
        <v>46</v>
      </c>
      <c r="AU1">
        <v>47</v>
      </c>
      <c r="AV1">
        <v>48</v>
      </c>
      <c r="AW1">
        <v>49</v>
      </c>
      <c r="AX1">
        <v>50</v>
      </c>
      <c r="AY1">
        <v>51</v>
      </c>
      <c r="AZ1">
        <v>52</v>
      </c>
      <c r="BA1">
        <v>53</v>
      </c>
      <c r="BB1">
        <v>54</v>
      </c>
      <c r="BC1">
        <v>55</v>
      </c>
      <c r="BD1">
        <v>56</v>
      </c>
      <c r="BE1">
        <v>57</v>
      </c>
      <c r="BF1">
        <v>58</v>
      </c>
      <c r="BG1">
        <v>59</v>
      </c>
      <c r="BH1">
        <v>60</v>
      </c>
      <c r="BI1">
        <v>61</v>
      </c>
      <c r="BJ1">
        <v>62</v>
      </c>
      <c r="BK1">
        <v>63</v>
      </c>
      <c r="BL1">
        <v>64</v>
      </c>
      <c r="BM1">
        <v>65</v>
      </c>
      <c r="BN1">
        <v>66</v>
      </c>
      <c r="BO1">
        <v>67</v>
      </c>
      <c r="BP1">
        <v>68</v>
      </c>
      <c r="BQ1">
        <v>69</v>
      </c>
      <c r="BR1">
        <v>70</v>
      </c>
      <c r="BS1">
        <v>71</v>
      </c>
      <c r="BT1">
        <v>72</v>
      </c>
      <c r="BU1">
        <v>73</v>
      </c>
    </row>
    <row r="2" spans="1:73" ht="40.799999999999997" x14ac:dyDescent="0.2">
      <c r="B2" s="178" t="s">
        <v>120</v>
      </c>
      <c r="C2" s="175" t="s">
        <v>121</v>
      </c>
      <c r="D2" s="176"/>
      <c r="E2" s="177"/>
      <c r="F2" s="175" t="s">
        <v>122</v>
      </c>
      <c r="G2" s="176"/>
      <c r="H2" s="176"/>
      <c r="I2" s="177"/>
      <c r="J2" s="33" t="s">
        <v>123</v>
      </c>
      <c r="K2" s="175" t="s">
        <v>124</v>
      </c>
      <c r="L2" s="176"/>
      <c r="M2" s="176"/>
      <c r="N2" s="176"/>
      <c r="O2" s="177"/>
      <c r="P2" s="175" t="s">
        <v>125</v>
      </c>
      <c r="Q2" s="176"/>
      <c r="R2" s="177"/>
      <c r="S2" s="33" t="s">
        <v>126</v>
      </c>
      <c r="T2" s="175" t="s">
        <v>127</v>
      </c>
      <c r="U2" s="177"/>
      <c r="V2" s="175" t="s">
        <v>128</v>
      </c>
      <c r="W2" s="176"/>
      <c r="X2" s="176"/>
      <c r="Y2" s="177"/>
      <c r="Z2" s="175" t="s">
        <v>129</v>
      </c>
      <c r="AA2" s="176"/>
      <c r="AB2" s="176"/>
      <c r="AC2" s="177"/>
      <c r="AD2" s="175" t="s">
        <v>130</v>
      </c>
      <c r="AE2" s="176"/>
      <c r="AF2" s="176"/>
      <c r="AG2" s="177"/>
      <c r="AH2" s="175" t="s">
        <v>131</v>
      </c>
      <c r="AI2" s="177"/>
      <c r="AJ2" s="175" t="s">
        <v>132</v>
      </c>
      <c r="AK2" s="177"/>
      <c r="AM2" s="175" t="s">
        <v>121</v>
      </c>
      <c r="AN2" s="176"/>
      <c r="AO2" s="177"/>
      <c r="AP2" s="175" t="s">
        <v>122</v>
      </c>
      <c r="AQ2" s="176"/>
      <c r="AR2" s="176"/>
      <c r="AS2" s="177"/>
      <c r="AT2" s="98" t="s">
        <v>123</v>
      </c>
      <c r="AU2" s="175" t="s">
        <v>124</v>
      </c>
      <c r="AV2" s="176"/>
      <c r="AW2" s="176"/>
      <c r="AX2" s="176"/>
      <c r="AY2" s="177"/>
      <c r="AZ2" s="175" t="s">
        <v>125</v>
      </c>
      <c r="BA2" s="176"/>
      <c r="BB2" s="177"/>
      <c r="BC2" s="98" t="s">
        <v>126</v>
      </c>
      <c r="BD2" s="175" t="s">
        <v>127</v>
      </c>
      <c r="BE2" s="177"/>
      <c r="BF2" s="175" t="s">
        <v>128</v>
      </c>
      <c r="BG2" s="176"/>
      <c r="BH2" s="176"/>
      <c r="BI2" s="177"/>
      <c r="BJ2" s="175" t="s">
        <v>129</v>
      </c>
      <c r="BK2" s="176"/>
      <c r="BL2" s="176"/>
      <c r="BM2" s="177"/>
      <c r="BN2" s="175" t="s">
        <v>130</v>
      </c>
      <c r="BO2" s="176"/>
      <c r="BP2" s="176"/>
      <c r="BQ2" s="177"/>
      <c r="BR2" s="175" t="s">
        <v>131</v>
      </c>
      <c r="BS2" s="177"/>
      <c r="BT2" s="175" t="s">
        <v>132</v>
      </c>
      <c r="BU2" s="177"/>
    </row>
    <row r="3" spans="1:73" ht="122.4" x14ac:dyDescent="0.2">
      <c r="B3" s="179"/>
      <c r="C3" s="34" t="s">
        <v>133</v>
      </c>
      <c r="D3" s="35" t="s">
        <v>134</v>
      </c>
      <c r="E3" s="36" t="s">
        <v>135</v>
      </c>
      <c r="F3" s="34" t="s">
        <v>136</v>
      </c>
      <c r="G3" s="35" t="s">
        <v>137</v>
      </c>
      <c r="H3" s="35" t="s">
        <v>138</v>
      </c>
      <c r="I3" s="36" t="s">
        <v>139</v>
      </c>
      <c r="J3" s="37" t="s">
        <v>140</v>
      </c>
      <c r="K3" s="34" t="s">
        <v>141</v>
      </c>
      <c r="L3" s="35" t="s">
        <v>142</v>
      </c>
      <c r="M3" s="35" t="s">
        <v>143</v>
      </c>
      <c r="N3" s="35" t="s">
        <v>144</v>
      </c>
      <c r="O3" s="36" t="s">
        <v>145</v>
      </c>
      <c r="P3" s="34" t="s">
        <v>345</v>
      </c>
      <c r="Q3" s="35" t="s">
        <v>147</v>
      </c>
      <c r="R3" s="36" t="s">
        <v>148</v>
      </c>
      <c r="S3" s="37" t="s">
        <v>149</v>
      </c>
      <c r="T3" s="34" t="s">
        <v>150</v>
      </c>
      <c r="U3" s="36" t="s">
        <v>151</v>
      </c>
      <c r="V3" s="34" t="s">
        <v>152</v>
      </c>
      <c r="W3" s="35" t="s">
        <v>153</v>
      </c>
      <c r="X3" s="35" t="s">
        <v>154</v>
      </c>
      <c r="Y3" s="36" t="s">
        <v>155</v>
      </c>
      <c r="Z3" s="34" t="s">
        <v>156</v>
      </c>
      <c r="AA3" s="35" t="s">
        <v>157</v>
      </c>
      <c r="AB3" s="35" t="s">
        <v>158</v>
      </c>
      <c r="AC3" s="36" t="s">
        <v>159</v>
      </c>
      <c r="AD3" s="34" t="s">
        <v>160</v>
      </c>
      <c r="AE3" s="35" t="s">
        <v>161</v>
      </c>
      <c r="AF3" s="35" t="s">
        <v>162</v>
      </c>
      <c r="AG3" s="36" t="s">
        <v>163</v>
      </c>
      <c r="AH3" s="34" t="s">
        <v>164</v>
      </c>
      <c r="AI3" s="36" t="s">
        <v>165</v>
      </c>
      <c r="AJ3" s="34" t="s">
        <v>166</v>
      </c>
      <c r="AK3" s="36" t="s">
        <v>167</v>
      </c>
      <c r="AM3" s="34" t="s">
        <v>133</v>
      </c>
      <c r="AN3" s="35" t="s">
        <v>134</v>
      </c>
      <c r="AO3" s="36" t="s">
        <v>135</v>
      </c>
      <c r="AP3" s="34" t="s">
        <v>136</v>
      </c>
      <c r="AQ3" s="35" t="s">
        <v>137</v>
      </c>
      <c r="AR3" s="35" t="s">
        <v>138</v>
      </c>
      <c r="AS3" s="36" t="s">
        <v>139</v>
      </c>
      <c r="AT3" s="99" t="s">
        <v>140</v>
      </c>
      <c r="AU3" s="34" t="s">
        <v>141</v>
      </c>
      <c r="AV3" s="35" t="s">
        <v>142</v>
      </c>
      <c r="AW3" s="35" t="s">
        <v>143</v>
      </c>
      <c r="AX3" s="35" t="s">
        <v>144</v>
      </c>
      <c r="AY3" s="36" t="s">
        <v>145</v>
      </c>
      <c r="AZ3" s="34" t="s">
        <v>146</v>
      </c>
      <c r="BA3" s="35" t="s">
        <v>147</v>
      </c>
      <c r="BB3" s="36" t="s">
        <v>148</v>
      </c>
      <c r="BC3" s="99" t="s">
        <v>149</v>
      </c>
      <c r="BD3" s="34" t="s">
        <v>150</v>
      </c>
      <c r="BE3" s="36" t="s">
        <v>151</v>
      </c>
      <c r="BF3" s="34" t="s">
        <v>152</v>
      </c>
      <c r="BG3" s="35" t="s">
        <v>153</v>
      </c>
      <c r="BH3" s="35" t="s">
        <v>154</v>
      </c>
      <c r="BI3" s="36" t="s">
        <v>155</v>
      </c>
      <c r="BJ3" s="34" t="s">
        <v>156</v>
      </c>
      <c r="BK3" s="35" t="s">
        <v>157</v>
      </c>
      <c r="BL3" s="35" t="s">
        <v>158</v>
      </c>
      <c r="BM3" s="36" t="s">
        <v>159</v>
      </c>
      <c r="BN3" s="34" t="s">
        <v>160</v>
      </c>
      <c r="BO3" s="35" t="s">
        <v>161</v>
      </c>
      <c r="BP3" s="35" t="s">
        <v>162</v>
      </c>
      <c r="BQ3" s="36" t="s">
        <v>163</v>
      </c>
      <c r="BR3" s="34" t="s">
        <v>164</v>
      </c>
      <c r="BS3" s="36" t="s">
        <v>165</v>
      </c>
      <c r="BT3" s="34" t="s">
        <v>166</v>
      </c>
      <c r="BU3" s="36" t="s">
        <v>167</v>
      </c>
    </row>
    <row r="4" spans="1:73" x14ac:dyDescent="0.2">
      <c r="B4" s="38" t="s">
        <v>168</v>
      </c>
      <c r="C4" s="39">
        <v>2020</v>
      </c>
      <c r="D4" s="40">
        <v>2020</v>
      </c>
      <c r="E4" s="41">
        <v>2020</v>
      </c>
      <c r="F4" s="39">
        <v>2021</v>
      </c>
      <c r="G4" s="40">
        <v>2021</v>
      </c>
      <c r="H4" s="40">
        <v>2021</v>
      </c>
      <c r="I4" s="41">
        <v>2021</v>
      </c>
      <c r="J4" s="38">
        <v>2021</v>
      </c>
      <c r="K4" s="39">
        <v>2022</v>
      </c>
      <c r="L4" s="40">
        <v>2021</v>
      </c>
      <c r="M4" s="40">
        <v>2018</v>
      </c>
      <c r="N4" s="40">
        <v>2020</v>
      </c>
      <c r="O4" s="41">
        <v>2020</v>
      </c>
      <c r="P4" s="39">
        <v>2020</v>
      </c>
      <c r="Q4" s="40">
        <v>2019</v>
      </c>
      <c r="R4" s="41">
        <v>2020</v>
      </c>
      <c r="S4" s="38">
        <v>2021</v>
      </c>
      <c r="T4" s="39">
        <v>2021</v>
      </c>
      <c r="U4" s="41">
        <v>2021</v>
      </c>
      <c r="V4" s="39">
        <v>2020</v>
      </c>
      <c r="W4" s="40">
        <v>2021</v>
      </c>
      <c r="X4" s="40">
        <v>2021</v>
      </c>
      <c r="Y4" s="41">
        <v>2020</v>
      </c>
      <c r="Z4" s="39">
        <v>2020</v>
      </c>
      <c r="AA4" s="40">
        <v>2020</v>
      </c>
      <c r="AB4" s="40">
        <v>2020</v>
      </c>
      <c r="AC4" s="41">
        <v>2020</v>
      </c>
      <c r="AD4" s="39">
        <v>2021</v>
      </c>
      <c r="AE4" s="40">
        <v>2021</v>
      </c>
      <c r="AF4" s="40">
        <v>2021</v>
      </c>
      <c r="AG4" s="41">
        <v>2021</v>
      </c>
      <c r="AH4" s="39">
        <v>2019</v>
      </c>
      <c r="AI4" s="41">
        <v>2012</v>
      </c>
      <c r="AJ4" s="39">
        <v>2020</v>
      </c>
      <c r="AK4" s="41">
        <v>2020</v>
      </c>
      <c r="AM4" s="39">
        <v>2020</v>
      </c>
      <c r="AN4" s="40">
        <v>2020</v>
      </c>
      <c r="AO4" s="41">
        <v>2020</v>
      </c>
      <c r="AP4" s="39">
        <v>2021</v>
      </c>
      <c r="AQ4" s="40">
        <v>2021</v>
      </c>
      <c r="AR4" s="40">
        <v>2021</v>
      </c>
      <c r="AS4" s="41">
        <v>2021</v>
      </c>
      <c r="AT4" s="38">
        <v>2021</v>
      </c>
      <c r="AU4" s="39">
        <v>2022</v>
      </c>
      <c r="AV4" s="40">
        <v>2021</v>
      </c>
      <c r="AW4" s="40">
        <v>2018</v>
      </c>
      <c r="AX4" s="40">
        <v>2020</v>
      </c>
      <c r="AY4" s="41">
        <v>2020</v>
      </c>
      <c r="AZ4" s="39">
        <v>2020</v>
      </c>
      <c r="BA4" s="40">
        <v>2019</v>
      </c>
      <c r="BB4" s="41">
        <v>2020</v>
      </c>
      <c r="BC4" s="38">
        <v>2021</v>
      </c>
      <c r="BD4" s="39">
        <v>2021</v>
      </c>
      <c r="BE4" s="41">
        <v>2021</v>
      </c>
      <c r="BF4" s="39">
        <v>2020</v>
      </c>
      <c r="BG4" s="40">
        <v>2021</v>
      </c>
      <c r="BH4" s="40">
        <v>2021</v>
      </c>
      <c r="BI4" s="41">
        <v>2020</v>
      </c>
      <c r="BJ4" s="39">
        <v>2020</v>
      </c>
      <c r="BK4" s="40">
        <v>2020</v>
      </c>
      <c r="BL4" s="40">
        <v>2020</v>
      </c>
      <c r="BM4" s="41">
        <v>2020</v>
      </c>
      <c r="BN4" s="39">
        <v>2021</v>
      </c>
      <c r="BO4" s="40">
        <v>2021</v>
      </c>
      <c r="BP4" s="40">
        <v>2021</v>
      </c>
      <c r="BQ4" s="41">
        <v>2021</v>
      </c>
      <c r="BR4" s="39">
        <v>2019</v>
      </c>
      <c r="BS4" s="41">
        <v>2012</v>
      </c>
      <c r="BT4" s="39">
        <v>2020</v>
      </c>
      <c r="BU4" s="41">
        <v>2020</v>
      </c>
    </row>
    <row r="6" spans="1:73" x14ac:dyDescent="0.2">
      <c r="A6">
        <v>1</v>
      </c>
      <c r="B6" s="46" t="s">
        <v>0</v>
      </c>
      <c r="C6" s="47">
        <v>68.400000000000006</v>
      </c>
      <c r="D6" s="47">
        <v>79.8</v>
      </c>
      <c r="E6" s="47">
        <v>98.8</v>
      </c>
      <c r="F6" s="47">
        <v>3</v>
      </c>
      <c r="G6" s="47">
        <v>50.5</v>
      </c>
      <c r="H6" s="47">
        <v>36.6</v>
      </c>
      <c r="I6" s="47">
        <v>63.6</v>
      </c>
      <c r="J6" s="47">
        <v>71.900000000000006</v>
      </c>
      <c r="K6" s="47">
        <v>76.2</v>
      </c>
      <c r="L6" s="47">
        <v>8.5</v>
      </c>
      <c r="M6" s="47">
        <v>32.6</v>
      </c>
      <c r="N6" s="47">
        <v>10.9</v>
      </c>
      <c r="O6" s="47">
        <v>69.2</v>
      </c>
      <c r="P6" s="47">
        <v>48.2</v>
      </c>
      <c r="Q6" s="47">
        <v>11.5</v>
      </c>
      <c r="R6" s="47">
        <v>10.3</v>
      </c>
      <c r="S6" s="47">
        <v>8.6</v>
      </c>
      <c r="T6" s="47">
        <v>7.8</v>
      </c>
      <c r="U6" s="47">
        <v>32.5</v>
      </c>
      <c r="V6" s="47">
        <v>6.5</v>
      </c>
      <c r="W6" s="47">
        <v>70</v>
      </c>
      <c r="X6" s="47">
        <v>41.1</v>
      </c>
      <c r="Y6" s="48">
        <v>29984</v>
      </c>
      <c r="Z6" s="49">
        <v>0.39500000000000002</v>
      </c>
      <c r="AA6" s="48">
        <v>11400</v>
      </c>
      <c r="AB6" s="47">
        <v>27.6</v>
      </c>
      <c r="AC6" s="47">
        <v>2.4</v>
      </c>
      <c r="AD6" s="47">
        <v>18.899999999999999</v>
      </c>
      <c r="AE6" s="47">
        <v>40</v>
      </c>
      <c r="AF6" s="47">
        <v>4.0999999999999996</v>
      </c>
      <c r="AG6" s="47">
        <v>58.9</v>
      </c>
      <c r="AH6" s="47">
        <v>19.5</v>
      </c>
      <c r="AI6" s="47">
        <v>100</v>
      </c>
      <c r="AJ6" s="47">
        <v>1.1000000000000001</v>
      </c>
      <c r="AK6" s="47">
        <v>97.4</v>
      </c>
      <c r="AM6" s="47">
        <f>_xlfn.RANK.EQ(C6,C$6:C$37,0)</f>
        <v>8</v>
      </c>
      <c r="AN6" s="47">
        <f>_xlfn.RANK.EQ(D6,D$6:D$37,0)</f>
        <v>8</v>
      </c>
      <c r="AO6" s="47">
        <f t="shared" ref="AO6:BU6" si="0">_xlfn.RANK.EQ(E6,E$6:E$37,0)</f>
        <v>1</v>
      </c>
      <c r="AP6" s="47">
        <f t="shared" si="0"/>
        <v>24</v>
      </c>
      <c r="AQ6" s="47">
        <f t="shared" si="0"/>
        <v>21</v>
      </c>
      <c r="AR6" s="47">
        <f t="shared" si="0"/>
        <v>8</v>
      </c>
      <c r="AS6" s="47">
        <f t="shared" si="0"/>
        <v>14</v>
      </c>
      <c r="AT6" s="47">
        <f t="shared" si="0"/>
        <v>23</v>
      </c>
      <c r="AU6" s="47">
        <f t="shared" si="0"/>
        <v>2</v>
      </c>
      <c r="AV6" s="47">
        <f>_xlfn.RANK.EQ(L6,L$6:L$37,0)</f>
        <v>7</v>
      </c>
      <c r="AW6" s="47">
        <f t="shared" si="0"/>
        <v>24</v>
      </c>
      <c r="AX6" s="47">
        <f t="shared" si="0"/>
        <v>17</v>
      </c>
      <c r="AY6" s="47">
        <f t="shared" si="0"/>
        <v>9</v>
      </c>
      <c r="AZ6" s="47">
        <f t="shared" si="0"/>
        <v>13</v>
      </c>
      <c r="BA6" s="47">
        <f t="shared" si="0"/>
        <v>11</v>
      </c>
      <c r="BB6" s="47">
        <f t="shared" si="0"/>
        <v>6</v>
      </c>
      <c r="BC6" s="47">
        <f t="shared" si="0"/>
        <v>7</v>
      </c>
      <c r="BD6" s="47">
        <f t="shared" si="0"/>
        <v>13</v>
      </c>
      <c r="BE6" s="47">
        <f t="shared" si="0"/>
        <v>4</v>
      </c>
      <c r="BF6" s="47">
        <f t="shared" si="0"/>
        <v>31</v>
      </c>
      <c r="BG6" s="47">
        <f t="shared" si="0"/>
        <v>3</v>
      </c>
      <c r="BH6" s="47">
        <f t="shared" si="0"/>
        <v>12</v>
      </c>
      <c r="BI6" s="47">
        <f t="shared" si="0"/>
        <v>12</v>
      </c>
      <c r="BJ6" s="47">
        <f t="shared" si="0"/>
        <v>28</v>
      </c>
      <c r="BK6" s="47">
        <f t="shared" si="0"/>
        <v>9</v>
      </c>
      <c r="BL6" s="47">
        <f t="shared" si="0"/>
        <v>26</v>
      </c>
      <c r="BM6" s="47">
        <f t="shared" si="0"/>
        <v>28</v>
      </c>
      <c r="BN6" s="47">
        <f t="shared" si="0"/>
        <v>25</v>
      </c>
      <c r="BO6" s="47">
        <f t="shared" si="0"/>
        <v>27</v>
      </c>
      <c r="BP6" s="47">
        <f t="shared" si="0"/>
        <v>10</v>
      </c>
      <c r="BQ6" s="47">
        <f t="shared" si="0"/>
        <v>20</v>
      </c>
      <c r="BR6" s="47">
        <f t="shared" si="0"/>
        <v>15</v>
      </c>
      <c r="BS6" s="47">
        <f t="shared" si="0"/>
        <v>1</v>
      </c>
      <c r="BT6" s="47">
        <f t="shared" si="0"/>
        <v>5</v>
      </c>
      <c r="BU6" s="47">
        <f t="shared" si="0"/>
        <v>1</v>
      </c>
    </row>
    <row r="7" spans="1:73" x14ac:dyDescent="0.2">
      <c r="A7">
        <v>2</v>
      </c>
      <c r="B7" s="46" t="s">
        <v>1</v>
      </c>
      <c r="C7" s="47">
        <v>75.400000000000006</v>
      </c>
      <c r="D7" s="47">
        <v>76</v>
      </c>
      <c r="E7" s="47">
        <v>95.7</v>
      </c>
      <c r="F7" s="47">
        <v>2</v>
      </c>
      <c r="G7" s="47">
        <v>38.5</v>
      </c>
      <c r="H7" s="47">
        <v>31.6</v>
      </c>
      <c r="I7" s="47">
        <v>59.5</v>
      </c>
      <c r="J7" s="47">
        <v>77.400000000000006</v>
      </c>
      <c r="K7" s="47">
        <v>76.2</v>
      </c>
      <c r="L7" s="47">
        <v>8.6</v>
      </c>
      <c r="M7" s="47">
        <v>48.4</v>
      </c>
      <c r="N7" s="47">
        <v>18.8</v>
      </c>
      <c r="O7" s="47">
        <v>85.3</v>
      </c>
      <c r="P7" s="47">
        <v>49.6</v>
      </c>
      <c r="Q7" s="47">
        <v>11.3</v>
      </c>
      <c r="R7" s="47">
        <v>10.199999999999999</v>
      </c>
      <c r="S7" s="47">
        <v>8.6999999999999993</v>
      </c>
      <c r="T7" s="47">
        <v>7.8</v>
      </c>
      <c r="U7" s="47">
        <v>27.3</v>
      </c>
      <c r="V7" s="47">
        <v>81.5</v>
      </c>
      <c r="W7" s="47">
        <v>50.5</v>
      </c>
      <c r="X7" s="47">
        <v>40.6</v>
      </c>
      <c r="Y7" s="48">
        <v>27377</v>
      </c>
      <c r="Z7" s="49">
        <v>0.42099999999999999</v>
      </c>
      <c r="AA7" s="48">
        <v>13838</v>
      </c>
      <c r="AB7" s="47">
        <v>22.5</v>
      </c>
      <c r="AC7" s="47">
        <v>1.5</v>
      </c>
      <c r="AD7" s="47">
        <v>24.5</v>
      </c>
      <c r="AE7" s="47">
        <v>38.200000000000003</v>
      </c>
      <c r="AF7" s="47">
        <v>2.5</v>
      </c>
      <c r="AG7" s="47">
        <v>60.2</v>
      </c>
      <c r="AH7" s="47">
        <v>20.399999999999999</v>
      </c>
      <c r="AI7" s="47">
        <v>95.6</v>
      </c>
      <c r="AJ7" s="47">
        <v>1.1000000000000001</v>
      </c>
      <c r="AK7" s="47">
        <v>59.9</v>
      </c>
      <c r="AM7" s="47">
        <f t="shared" ref="AM7:AM37" si="1">_xlfn.RANK.EQ(C7,C$6:C$37,0)</f>
        <v>4</v>
      </c>
      <c r="AN7" s="47">
        <f t="shared" ref="AN7:AN37" si="2">_xlfn.RANK.EQ(D7,D$6:D$37,0)</f>
        <v>15</v>
      </c>
      <c r="AO7" s="47">
        <f t="shared" ref="AO7:AO37" si="3">_xlfn.RANK.EQ(E7,E$6:E$37,0)</f>
        <v>8</v>
      </c>
      <c r="AP7" s="47">
        <f t="shared" ref="AP7:AP37" si="4">_xlfn.RANK.EQ(F7,F$6:F$37,0)</f>
        <v>29</v>
      </c>
      <c r="AQ7" s="47">
        <f t="shared" ref="AQ7:AQ37" si="5">_xlfn.RANK.EQ(G7,G$6:G$37,0)</f>
        <v>32</v>
      </c>
      <c r="AR7" s="47">
        <f t="shared" ref="AR7:AR37" si="6">_xlfn.RANK.EQ(H7,H$6:H$37,0)</f>
        <v>16</v>
      </c>
      <c r="AS7" s="47">
        <f t="shared" ref="AS7:AS37" si="7">_xlfn.RANK.EQ(I7,I$6:I$37,0)</f>
        <v>25</v>
      </c>
      <c r="AT7" s="47">
        <f t="shared" ref="AT7:AT37" si="8">_xlfn.RANK.EQ(J7,J$6:J$37,0)</f>
        <v>5</v>
      </c>
      <c r="AU7" s="47">
        <f t="shared" ref="AU7:AU37" si="9">_xlfn.RANK.EQ(K7,K$6:K$37,0)</f>
        <v>2</v>
      </c>
      <c r="AV7" s="47">
        <f t="shared" ref="AV7:AV37" si="10">_xlfn.RANK.EQ(L7,L$6:L$37,0)</f>
        <v>2</v>
      </c>
      <c r="AW7" s="47">
        <f t="shared" ref="AW7:AW37" si="11">_xlfn.RANK.EQ(M7,M$6:M$37,0)</f>
        <v>2</v>
      </c>
      <c r="AX7" s="47">
        <f t="shared" ref="AX7:AX37" si="12">_xlfn.RANK.EQ(N7,N$6:N$37,0)</f>
        <v>2</v>
      </c>
      <c r="AY7" s="47">
        <f t="shared" ref="AY7:AY37" si="13">_xlfn.RANK.EQ(O7,O$6:O$37,0)</f>
        <v>3</v>
      </c>
      <c r="AZ7" s="47">
        <f t="shared" ref="AZ7:AZ37" si="14">_xlfn.RANK.EQ(P7,P$6:P$37,0)</f>
        <v>8</v>
      </c>
      <c r="BA7" s="47">
        <f t="shared" ref="BA7:BA37" si="15">_xlfn.RANK.EQ(Q7,Q$6:Q$37,0)</f>
        <v>13</v>
      </c>
      <c r="BB7" s="47">
        <f t="shared" ref="BB7:BB37" si="16">_xlfn.RANK.EQ(R7,R$6:R$37,0)</f>
        <v>8</v>
      </c>
      <c r="BC7" s="47">
        <f t="shared" ref="BC7:BC37" si="17">_xlfn.RANK.EQ(S7,S$6:S$37,0)</f>
        <v>4</v>
      </c>
      <c r="BD7" s="47">
        <f t="shared" ref="BD7:BD37" si="18">_xlfn.RANK.EQ(T7,T$6:T$37,0)</f>
        <v>13</v>
      </c>
      <c r="BE7" s="47">
        <f t="shared" ref="BE7:BE37" si="19">_xlfn.RANK.EQ(U7,U$6:U$37,0)</f>
        <v>15</v>
      </c>
      <c r="BF7" s="47">
        <f t="shared" ref="BF7:BF37" si="20">_xlfn.RANK.EQ(V7,V$6:V$37,0)</f>
        <v>4</v>
      </c>
      <c r="BG7" s="47">
        <f t="shared" ref="BG7:BG37" si="21">_xlfn.RANK.EQ(W7,W$6:W$37,0)</f>
        <v>26</v>
      </c>
      <c r="BH7" s="47">
        <f t="shared" ref="BH7:BH37" si="22">_xlfn.RANK.EQ(X7,X$6:X$37,0)</f>
        <v>13</v>
      </c>
      <c r="BI7" s="47">
        <f t="shared" ref="BI7:BI37" si="23">_xlfn.RANK.EQ(Y7,Y$6:Y$37,0)</f>
        <v>15</v>
      </c>
      <c r="BJ7" s="47">
        <f t="shared" ref="BJ7:BJ37" si="24">_xlfn.RANK.EQ(Z7,Z$6:Z$37,0)</f>
        <v>19</v>
      </c>
      <c r="BK7" s="47">
        <f t="shared" ref="BK7:BK37" si="25">_xlfn.RANK.EQ(AA7,AA$6:AA$37,0)</f>
        <v>1</v>
      </c>
      <c r="BL7" s="47">
        <f t="shared" ref="BL7:BL37" si="26">_xlfn.RANK.EQ(AB7,AB$6:AB$37,0)</f>
        <v>32</v>
      </c>
      <c r="BM7" s="47">
        <f t="shared" ref="BM7:BM37" si="27">_xlfn.RANK.EQ(AC7,AC$6:AC$37,0)</f>
        <v>32</v>
      </c>
      <c r="BN7" s="47">
        <f t="shared" ref="BN7:BN37" si="28">_xlfn.RANK.EQ(AD7,AD$6:AD$37,0)</f>
        <v>15</v>
      </c>
      <c r="BO7" s="47">
        <f t="shared" ref="BO7:BO37" si="29">_xlfn.RANK.EQ(AE7,AE$6:AE$37,0)</f>
        <v>28</v>
      </c>
      <c r="BP7" s="47">
        <f t="shared" ref="BP7:BP37" si="30">_xlfn.RANK.EQ(AF7,AF$6:AF$37,0)</f>
        <v>27</v>
      </c>
      <c r="BQ7" s="47">
        <f t="shared" ref="BQ7:BQ37" si="31">_xlfn.RANK.EQ(AG7,AG$6:AG$37,0)</f>
        <v>14</v>
      </c>
      <c r="BR7" s="47">
        <f t="shared" ref="BR7:BR37" si="32">_xlfn.RANK.EQ(AH7,AH$6:AH$37,0)</f>
        <v>9</v>
      </c>
      <c r="BS7" s="47">
        <f t="shared" ref="BS7:BS37" si="33">_xlfn.RANK.EQ(AI7,AI$6:AI$37,0)</f>
        <v>5</v>
      </c>
      <c r="BT7" s="47">
        <f t="shared" ref="BT7:BT37" si="34">_xlfn.RANK.EQ(AJ7,AJ$6:AJ$37,0)</f>
        <v>5</v>
      </c>
      <c r="BU7" s="47">
        <f t="shared" ref="BU7:BU37" si="35">_xlfn.RANK.EQ(AK7,AK$6:AK$37,0)</f>
        <v>27</v>
      </c>
    </row>
    <row r="8" spans="1:73" x14ac:dyDescent="0.2">
      <c r="A8">
        <v>3</v>
      </c>
      <c r="B8" s="46" t="s">
        <v>2</v>
      </c>
      <c r="C8" s="47">
        <v>70</v>
      </c>
      <c r="D8" s="47">
        <v>82.6</v>
      </c>
      <c r="E8" s="47">
        <v>93.3</v>
      </c>
      <c r="F8" s="47">
        <v>4.9000000000000004</v>
      </c>
      <c r="G8" s="47">
        <v>49.8</v>
      </c>
      <c r="H8" s="47">
        <v>38.700000000000003</v>
      </c>
      <c r="I8" s="47">
        <v>70.7</v>
      </c>
      <c r="J8" s="47">
        <v>81.8</v>
      </c>
      <c r="K8" s="47">
        <v>76.099999999999994</v>
      </c>
      <c r="L8" s="47">
        <v>8.6</v>
      </c>
      <c r="M8" s="47">
        <v>42.8</v>
      </c>
      <c r="N8" s="47">
        <v>18.8</v>
      </c>
      <c r="O8" s="47">
        <v>63.3</v>
      </c>
      <c r="P8" s="47">
        <v>52.3</v>
      </c>
      <c r="Q8" s="47">
        <v>8</v>
      </c>
      <c r="R8" s="47">
        <v>10.3</v>
      </c>
      <c r="S8" s="47">
        <v>8.6</v>
      </c>
      <c r="T8" s="47">
        <v>7.9</v>
      </c>
      <c r="U8" s="47">
        <v>22.4</v>
      </c>
      <c r="V8" s="47">
        <v>9.6999999999999993</v>
      </c>
      <c r="W8" s="47">
        <v>61.2</v>
      </c>
      <c r="X8" s="47">
        <v>23.9</v>
      </c>
      <c r="Y8" s="48">
        <v>22739</v>
      </c>
      <c r="Z8" s="49">
        <v>0.43099999999999999</v>
      </c>
      <c r="AA8" s="48">
        <v>12742</v>
      </c>
      <c r="AB8" s="47">
        <v>27.6</v>
      </c>
      <c r="AC8" s="47">
        <v>2.9</v>
      </c>
      <c r="AD8" s="47">
        <v>14.2</v>
      </c>
      <c r="AE8" s="47">
        <v>37.200000000000003</v>
      </c>
      <c r="AF8" s="47">
        <v>4.0999999999999996</v>
      </c>
      <c r="AG8" s="47">
        <v>66.5</v>
      </c>
      <c r="AH8" s="47">
        <v>14.3</v>
      </c>
      <c r="AI8" s="47">
        <v>81.8</v>
      </c>
      <c r="AJ8" s="47">
        <v>1</v>
      </c>
      <c r="AK8" s="47">
        <v>80.599999999999994</v>
      </c>
      <c r="AM8" s="47">
        <f t="shared" si="1"/>
        <v>6</v>
      </c>
      <c r="AN8" s="47">
        <f t="shared" si="2"/>
        <v>2</v>
      </c>
      <c r="AO8" s="47">
        <f t="shared" si="3"/>
        <v>15</v>
      </c>
      <c r="AP8" s="47">
        <f t="shared" si="4"/>
        <v>11</v>
      </c>
      <c r="AQ8" s="47">
        <f t="shared" si="5"/>
        <v>22</v>
      </c>
      <c r="AR8" s="47">
        <f t="shared" si="6"/>
        <v>4</v>
      </c>
      <c r="AS8" s="47">
        <f t="shared" si="7"/>
        <v>3</v>
      </c>
      <c r="AT8" s="47">
        <f t="shared" si="8"/>
        <v>1</v>
      </c>
      <c r="AU8" s="47">
        <f t="shared" si="9"/>
        <v>5</v>
      </c>
      <c r="AV8" s="47">
        <f t="shared" si="10"/>
        <v>2</v>
      </c>
      <c r="AW8" s="47">
        <f t="shared" si="11"/>
        <v>8</v>
      </c>
      <c r="AX8" s="47">
        <f t="shared" si="12"/>
        <v>2</v>
      </c>
      <c r="AY8" s="47">
        <f t="shared" si="13"/>
        <v>14</v>
      </c>
      <c r="AZ8" s="47">
        <f t="shared" si="14"/>
        <v>2</v>
      </c>
      <c r="BA8" s="47">
        <f t="shared" si="15"/>
        <v>28</v>
      </c>
      <c r="BB8" s="47">
        <f t="shared" si="16"/>
        <v>6</v>
      </c>
      <c r="BC8" s="47">
        <f t="shared" si="17"/>
        <v>7</v>
      </c>
      <c r="BD8" s="47">
        <f t="shared" si="18"/>
        <v>8</v>
      </c>
      <c r="BE8" s="47">
        <f t="shared" si="19"/>
        <v>26</v>
      </c>
      <c r="BF8" s="47">
        <f t="shared" si="20"/>
        <v>26</v>
      </c>
      <c r="BG8" s="47">
        <f t="shared" si="21"/>
        <v>13</v>
      </c>
      <c r="BH8" s="47">
        <f t="shared" si="22"/>
        <v>31</v>
      </c>
      <c r="BI8" s="47">
        <f t="shared" si="23"/>
        <v>23</v>
      </c>
      <c r="BJ8" s="47">
        <f t="shared" si="24"/>
        <v>17</v>
      </c>
      <c r="BK8" s="47">
        <f t="shared" si="25"/>
        <v>3</v>
      </c>
      <c r="BL8" s="47">
        <f t="shared" si="26"/>
        <v>26</v>
      </c>
      <c r="BM8" s="47">
        <f t="shared" si="27"/>
        <v>24</v>
      </c>
      <c r="BN8" s="47">
        <f t="shared" si="28"/>
        <v>30</v>
      </c>
      <c r="BO8" s="47">
        <f t="shared" si="29"/>
        <v>29</v>
      </c>
      <c r="BP8" s="47">
        <f t="shared" si="30"/>
        <v>10</v>
      </c>
      <c r="BQ8" s="47">
        <f t="shared" si="31"/>
        <v>2</v>
      </c>
      <c r="BR8" s="47">
        <f t="shared" si="32"/>
        <v>32</v>
      </c>
      <c r="BS8" s="47">
        <f t="shared" si="33"/>
        <v>16</v>
      </c>
      <c r="BT8" s="47">
        <f t="shared" si="34"/>
        <v>17</v>
      </c>
      <c r="BU8" s="47">
        <f t="shared" si="35"/>
        <v>20</v>
      </c>
    </row>
    <row r="9" spans="1:73" x14ac:dyDescent="0.2">
      <c r="A9">
        <v>4</v>
      </c>
      <c r="B9" s="46" t="s">
        <v>3</v>
      </c>
      <c r="C9" s="47">
        <v>52.1</v>
      </c>
      <c r="D9" s="47">
        <v>79</v>
      </c>
      <c r="E9" s="47">
        <v>90.7</v>
      </c>
      <c r="F9" s="47">
        <v>6.7</v>
      </c>
      <c r="G9" s="47">
        <v>63.5</v>
      </c>
      <c r="H9" s="47">
        <v>31.9</v>
      </c>
      <c r="I9" s="47">
        <v>66.8</v>
      </c>
      <c r="J9" s="47">
        <v>76</v>
      </c>
      <c r="K9" s="47">
        <v>75.099999999999994</v>
      </c>
      <c r="L9" s="47">
        <v>8.3000000000000007</v>
      </c>
      <c r="M9" s="47">
        <v>44.9</v>
      </c>
      <c r="N9" s="47">
        <v>10.4</v>
      </c>
      <c r="O9" s="47">
        <v>62.2</v>
      </c>
      <c r="P9" s="47">
        <v>44.6</v>
      </c>
      <c r="Q9" s="47">
        <v>11</v>
      </c>
      <c r="R9" s="47">
        <v>9.6</v>
      </c>
      <c r="S9" s="47">
        <v>8.3000000000000007</v>
      </c>
      <c r="T9" s="47">
        <v>7.8</v>
      </c>
      <c r="U9" s="47">
        <v>30</v>
      </c>
      <c r="V9" s="47">
        <v>7.6</v>
      </c>
      <c r="W9" s="47">
        <v>58.5</v>
      </c>
      <c r="X9" s="47">
        <v>36.6</v>
      </c>
      <c r="Y9" s="48">
        <v>25390</v>
      </c>
      <c r="Z9" s="49">
        <v>0.46800000000000003</v>
      </c>
      <c r="AA9" s="48">
        <v>8875</v>
      </c>
      <c r="AB9" s="47">
        <v>50.5</v>
      </c>
      <c r="AC9" s="47">
        <v>12</v>
      </c>
      <c r="AD9" s="47">
        <v>30.6</v>
      </c>
      <c r="AE9" s="47">
        <v>62.8</v>
      </c>
      <c r="AF9" s="47">
        <v>3</v>
      </c>
      <c r="AG9" s="47">
        <v>61.8</v>
      </c>
      <c r="AH9" s="47">
        <v>20.3</v>
      </c>
      <c r="AI9" s="47">
        <v>82.7</v>
      </c>
      <c r="AJ9" s="47">
        <v>0.9</v>
      </c>
      <c r="AK9" s="47">
        <v>60.3</v>
      </c>
      <c r="AM9" s="47">
        <f t="shared" si="1"/>
        <v>21</v>
      </c>
      <c r="AN9" s="47">
        <f t="shared" si="2"/>
        <v>10</v>
      </c>
      <c r="AO9" s="47">
        <f t="shared" si="3"/>
        <v>23</v>
      </c>
      <c r="AP9" s="47">
        <f t="shared" si="4"/>
        <v>4</v>
      </c>
      <c r="AQ9" s="47">
        <f t="shared" si="5"/>
        <v>3</v>
      </c>
      <c r="AR9" s="47">
        <f t="shared" si="6"/>
        <v>14</v>
      </c>
      <c r="AS9" s="47">
        <f t="shared" si="7"/>
        <v>9</v>
      </c>
      <c r="AT9" s="47">
        <f t="shared" si="8"/>
        <v>8</v>
      </c>
      <c r="AU9" s="47">
        <f t="shared" si="9"/>
        <v>25</v>
      </c>
      <c r="AV9" s="47">
        <f t="shared" si="10"/>
        <v>16</v>
      </c>
      <c r="AW9" s="47">
        <f t="shared" si="11"/>
        <v>5</v>
      </c>
      <c r="AX9" s="47">
        <f t="shared" si="12"/>
        <v>20</v>
      </c>
      <c r="AY9" s="47">
        <f t="shared" si="13"/>
        <v>17</v>
      </c>
      <c r="AZ9" s="47">
        <f t="shared" si="14"/>
        <v>20</v>
      </c>
      <c r="BA9" s="47">
        <f t="shared" si="15"/>
        <v>15</v>
      </c>
      <c r="BB9" s="47">
        <f t="shared" si="16"/>
        <v>21</v>
      </c>
      <c r="BC9" s="47">
        <f t="shared" si="17"/>
        <v>24</v>
      </c>
      <c r="BD9" s="47">
        <f t="shared" si="18"/>
        <v>13</v>
      </c>
      <c r="BE9" s="47">
        <f t="shared" si="19"/>
        <v>8</v>
      </c>
      <c r="BF9" s="47">
        <f t="shared" si="20"/>
        <v>29</v>
      </c>
      <c r="BG9" s="47">
        <f t="shared" si="21"/>
        <v>18</v>
      </c>
      <c r="BH9" s="47">
        <f t="shared" si="22"/>
        <v>18</v>
      </c>
      <c r="BI9" s="47">
        <f t="shared" si="23"/>
        <v>20</v>
      </c>
      <c r="BJ9" s="47">
        <f t="shared" si="24"/>
        <v>2</v>
      </c>
      <c r="BK9" s="47">
        <f t="shared" si="25"/>
        <v>20</v>
      </c>
      <c r="BL9" s="47">
        <f t="shared" si="26"/>
        <v>10</v>
      </c>
      <c r="BM9" s="47">
        <f t="shared" si="27"/>
        <v>7</v>
      </c>
      <c r="BN9" s="47">
        <f t="shared" si="28"/>
        <v>3</v>
      </c>
      <c r="BO9" s="47">
        <f t="shared" si="29"/>
        <v>11</v>
      </c>
      <c r="BP9" s="47">
        <f t="shared" si="30"/>
        <v>23</v>
      </c>
      <c r="BQ9" s="47">
        <f t="shared" si="31"/>
        <v>7</v>
      </c>
      <c r="BR9" s="47">
        <f t="shared" si="32"/>
        <v>12</v>
      </c>
      <c r="BS9" s="47">
        <f t="shared" si="33"/>
        <v>13</v>
      </c>
      <c r="BT9" s="47">
        <f t="shared" si="34"/>
        <v>27</v>
      </c>
      <c r="BU9" s="47">
        <f t="shared" si="35"/>
        <v>26</v>
      </c>
    </row>
    <row r="10" spans="1:73" x14ac:dyDescent="0.2">
      <c r="A10">
        <v>5</v>
      </c>
      <c r="B10" s="46" t="s">
        <v>169</v>
      </c>
      <c r="C10" s="47">
        <v>64.5</v>
      </c>
      <c r="D10" s="47">
        <v>78.400000000000006</v>
      </c>
      <c r="E10" s="47">
        <v>97.4</v>
      </c>
      <c r="F10" s="47">
        <v>9.5</v>
      </c>
      <c r="G10" s="47">
        <v>57.8</v>
      </c>
      <c r="H10" s="47">
        <v>37.799999999999997</v>
      </c>
      <c r="I10" s="47">
        <v>71.099999999999994</v>
      </c>
      <c r="J10" s="47">
        <v>74.5</v>
      </c>
      <c r="K10" s="47">
        <v>75.900000000000006</v>
      </c>
      <c r="L10" s="47">
        <v>8.6</v>
      </c>
      <c r="M10" s="47">
        <v>37.6</v>
      </c>
      <c r="N10" s="47">
        <v>11.6</v>
      </c>
      <c r="O10" s="47">
        <v>57.4</v>
      </c>
      <c r="P10" s="47">
        <v>48.6</v>
      </c>
      <c r="Q10" s="47">
        <v>11.5</v>
      </c>
      <c r="R10" s="47">
        <v>10.4</v>
      </c>
      <c r="S10" s="47">
        <v>8.8000000000000007</v>
      </c>
      <c r="T10" s="47">
        <v>8.1</v>
      </c>
      <c r="U10" s="47">
        <v>23.9</v>
      </c>
      <c r="V10" s="47">
        <v>7.5</v>
      </c>
      <c r="W10" s="47">
        <v>64.3</v>
      </c>
      <c r="X10" s="47">
        <v>29.8</v>
      </c>
      <c r="Y10" s="48">
        <v>26383</v>
      </c>
      <c r="Z10" s="49">
        <v>0.39300000000000002</v>
      </c>
      <c r="AA10" s="48">
        <v>11521</v>
      </c>
      <c r="AB10" s="47">
        <v>25.6</v>
      </c>
      <c r="AC10" s="47">
        <v>2.6</v>
      </c>
      <c r="AD10" s="47">
        <v>19.2</v>
      </c>
      <c r="AE10" s="47">
        <v>36</v>
      </c>
      <c r="AF10" s="47">
        <v>4.9000000000000004</v>
      </c>
      <c r="AG10" s="47">
        <v>60.5</v>
      </c>
      <c r="AH10" s="47">
        <v>18.8</v>
      </c>
      <c r="AI10" s="47">
        <v>72.599999999999994</v>
      </c>
      <c r="AJ10" s="47">
        <v>1.2</v>
      </c>
      <c r="AK10" s="47">
        <v>89.6</v>
      </c>
      <c r="AM10" s="47">
        <f t="shared" si="1"/>
        <v>15</v>
      </c>
      <c r="AN10" s="47">
        <f t="shared" si="2"/>
        <v>12</v>
      </c>
      <c r="AO10" s="47">
        <f t="shared" si="3"/>
        <v>6</v>
      </c>
      <c r="AP10" s="47">
        <f t="shared" si="4"/>
        <v>2</v>
      </c>
      <c r="AQ10" s="47">
        <f t="shared" si="5"/>
        <v>7</v>
      </c>
      <c r="AR10" s="47">
        <f t="shared" si="6"/>
        <v>7</v>
      </c>
      <c r="AS10" s="47">
        <f t="shared" si="7"/>
        <v>1</v>
      </c>
      <c r="AT10" s="47">
        <f t="shared" si="8"/>
        <v>12</v>
      </c>
      <c r="AU10" s="47">
        <f t="shared" si="9"/>
        <v>6</v>
      </c>
      <c r="AV10" s="47">
        <f t="shared" si="10"/>
        <v>2</v>
      </c>
      <c r="AW10" s="47">
        <f t="shared" si="11"/>
        <v>14</v>
      </c>
      <c r="AX10" s="47">
        <f t="shared" si="12"/>
        <v>15</v>
      </c>
      <c r="AY10" s="47">
        <f t="shared" si="13"/>
        <v>21</v>
      </c>
      <c r="AZ10" s="47">
        <f t="shared" si="14"/>
        <v>9</v>
      </c>
      <c r="BA10" s="47">
        <f t="shared" si="15"/>
        <v>11</v>
      </c>
      <c r="BB10" s="47">
        <f t="shared" si="16"/>
        <v>4</v>
      </c>
      <c r="BC10" s="47">
        <f t="shared" si="17"/>
        <v>1</v>
      </c>
      <c r="BD10" s="47">
        <f t="shared" si="18"/>
        <v>1</v>
      </c>
      <c r="BE10" s="47">
        <f t="shared" si="19"/>
        <v>23</v>
      </c>
      <c r="BF10" s="47">
        <f t="shared" si="20"/>
        <v>30</v>
      </c>
      <c r="BG10" s="47">
        <f t="shared" si="21"/>
        <v>6</v>
      </c>
      <c r="BH10" s="47">
        <f t="shared" si="22"/>
        <v>25</v>
      </c>
      <c r="BI10" s="47">
        <f t="shared" si="23"/>
        <v>18</v>
      </c>
      <c r="BJ10" s="47">
        <f t="shared" si="24"/>
        <v>30</v>
      </c>
      <c r="BK10" s="47">
        <f t="shared" si="25"/>
        <v>8</v>
      </c>
      <c r="BL10" s="47">
        <f t="shared" si="26"/>
        <v>29</v>
      </c>
      <c r="BM10" s="47">
        <f t="shared" si="27"/>
        <v>27</v>
      </c>
      <c r="BN10" s="47">
        <f t="shared" si="28"/>
        <v>24</v>
      </c>
      <c r="BO10" s="47">
        <f t="shared" si="29"/>
        <v>32</v>
      </c>
      <c r="BP10" s="47">
        <f t="shared" si="30"/>
        <v>8</v>
      </c>
      <c r="BQ10" s="47">
        <f t="shared" si="31"/>
        <v>11</v>
      </c>
      <c r="BR10" s="47">
        <f t="shared" si="32"/>
        <v>20</v>
      </c>
      <c r="BS10" s="47">
        <f t="shared" si="33"/>
        <v>20</v>
      </c>
      <c r="BT10" s="47">
        <f t="shared" si="34"/>
        <v>1</v>
      </c>
      <c r="BU10" s="47">
        <f t="shared" si="35"/>
        <v>12</v>
      </c>
    </row>
    <row r="11" spans="1:73" x14ac:dyDescent="0.2">
      <c r="A11">
        <v>6</v>
      </c>
      <c r="B11" s="46" t="s">
        <v>5</v>
      </c>
      <c r="C11" s="47">
        <v>66.8</v>
      </c>
      <c r="D11" s="47">
        <v>81</v>
      </c>
      <c r="E11" s="47">
        <v>98.7</v>
      </c>
      <c r="F11" s="47">
        <v>4.3</v>
      </c>
      <c r="G11" s="47">
        <v>53.5</v>
      </c>
      <c r="H11" s="47">
        <v>36.200000000000003</v>
      </c>
      <c r="I11" s="47">
        <v>63.2</v>
      </c>
      <c r="J11" s="47">
        <v>79.7</v>
      </c>
      <c r="K11" s="47">
        <v>75.8</v>
      </c>
      <c r="L11" s="47">
        <v>8.6999999999999993</v>
      </c>
      <c r="M11" s="47">
        <v>43.2</v>
      </c>
      <c r="N11" s="47">
        <v>10.6</v>
      </c>
      <c r="O11" s="47">
        <v>36.200000000000003</v>
      </c>
      <c r="P11" s="47">
        <v>48.4</v>
      </c>
      <c r="Q11" s="47">
        <v>12.4</v>
      </c>
      <c r="R11" s="47">
        <v>10</v>
      </c>
      <c r="S11" s="47">
        <v>8.8000000000000007</v>
      </c>
      <c r="T11" s="47">
        <v>8</v>
      </c>
      <c r="U11" s="47">
        <v>26.3</v>
      </c>
      <c r="V11" s="47">
        <v>88.4</v>
      </c>
      <c r="W11" s="47">
        <v>63.4</v>
      </c>
      <c r="X11" s="47">
        <v>39.700000000000003</v>
      </c>
      <c r="Y11" s="48">
        <v>26793</v>
      </c>
      <c r="Z11" s="49">
        <v>0.40200000000000002</v>
      </c>
      <c r="AA11" s="48">
        <v>11760</v>
      </c>
      <c r="AB11" s="47">
        <v>26.7</v>
      </c>
      <c r="AC11" s="47">
        <v>1.9</v>
      </c>
      <c r="AD11" s="47">
        <v>16.8</v>
      </c>
      <c r="AE11" s="47">
        <v>48.7</v>
      </c>
      <c r="AF11" s="47">
        <v>3.1</v>
      </c>
      <c r="AG11" s="47">
        <v>66.2</v>
      </c>
      <c r="AH11" s="47">
        <v>17.7</v>
      </c>
      <c r="AI11" s="47">
        <v>63</v>
      </c>
      <c r="AJ11" s="47">
        <v>1</v>
      </c>
      <c r="AK11" s="47">
        <v>80.599999999999994</v>
      </c>
      <c r="AM11" s="47">
        <f t="shared" si="1"/>
        <v>9</v>
      </c>
      <c r="AN11" s="47">
        <f t="shared" si="2"/>
        <v>3</v>
      </c>
      <c r="AO11" s="47">
        <f t="shared" si="3"/>
        <v>2</v>
      </c>
      <c r="AP11" s="47">
        <f t="shared" si="4"/>
        <v>15</v>
      </c>
      <c r="AQ11" s="47">
        <f t="shared" si="5"/>
        <v>13</v>
      </c>
      <c r="AR11" s="47">
        <f t="shared" si="6"/>
        <v>9</v>
      </c>
      <c r="AS11" s="47">
        <f t="shared" si="7"/>
        <v>15</v>
      </c>
      <c r="AT11" s="47">
        <f t="shared" si="8"/>
        <v>3</v>
      </c>
      <c r="AU11" s="47">
        <f t="shared" si="9"/>
        <v>8</v>
      </c>
      <c r="AV11" s="47">
        <f t="shared" si="10"/>
        <v>1</v>
      </c>
      <c r="AW11" s="47">
        <f t="shared" si="11"/>
        <v>7</v>
      </c>
      <c r="AX11" s="47">
        <f t="shared" si="12"/>
        <v>18</v>
      </c>
      <c r="AY11" s="47">
        <f t="shared" si="13"/>
        <v>28</v>
      </c>
      <c r="AZ11" s="47">
        <f t="shared" si="14"/>
        <v>11</v>
      </c>
      <c r="BA11" s="47">
        <f t="shared" si="15"/>
        <v>7</v>
      </c>
      <c r="BB11" s="47">
        <f t="shared" si="16"/>
        <v>13</v>
      </c>
      <c r="BC11" s="47">
        <f t="shared" si="17"/>
        <v>1</v>
      </c>
      <c r="BD11" s="47">
        <f t="shared" si="18"/>
        <v>2</v>
      </c>
      <c r="BE11" s="47">
        <f t="shared" si="19"/>
        <v>18</v>
      </c>
      <c r="BF11" s="47">
        <f t="shared" si="20"/>
        <v>2</v>
      </c>
      <c r="BG11" s="47">
        <f t="shared" si="21"/>
        <v>7</v>
      </c>
      <c r="BH11" s="47">
        <f t="shared" si="22"/>
        <v>15</v>
      </c>
      <c r="BI11" s="47">
        <f t="shared" si="23"/>
        <v>17</v>
      </c>
      <c r="BJ11" s="47">
        <f t="shared" si="24"/>
        <v>25</v>
      </c>
      <c r="BK11" s="47">
        <f t="shared" si="25"/>
        <v>7</v>
      </c>
      <c r="BL11" s="47">
        <f t="shared" si="26"/>
        <v>28</v>
      </c>
      <c r="BM11" s="47">
        <f t="shared" si="27"/>
        <v>31</v>
      </c>
      <c r="BN11" s="47">
        <f t="shared" si="28"/>
        <v>28</v>
      </c>
      <c r="BO11" s="47">
        <f t="shared" si="29"/>
        <v>19</v>
      </c>
      <c r="BP11" s="47">
        <f t="shared" si="30"/>
        <v>22</v>
      </c>
      <c r="BQ11" s="47">
        <f t="shared" si="31"/>
        <v>3</v>
      </c>
      <c r="BR11" s="47">
        <f t="shared" si="32"/>
        <v>24</v>
      </c>
      <c r="BS11" s="47">
        <f t="shared" si="33"/>
        <v>23</v>
      </c>
      <c r="BT11" s="47">
        <f t="shared" si="34"/>
        <v>17</v>
      </c>
      <c r="BU11" s="47">
        <f t="shared" si="35"/>
        <v>20</v>
      </c>
    </row>
    <row r="12" spans="1:73" x14ac:dyDescent="0.2">
      <c r="A12">
        <v>7</v>
      </c>
      <c r="B12" s="46" t="s">
        <v>6</v>
      </c>
      <c r="C12" s="47">
        <v>27</v>
      </c>
      <c r="D12" s="47">
        <v>62.9</v>
      </c>
      <c r="E12" s="47">
        <v>75.900000000000006</v>
      </c>
      <c r="F12" s="47">
        <v>11.2</v>
      </c>
      <c r="G12" s="47">
        <v>61.3</v>
      </c>
      <c r="H12" s="47">
        <v>33.1</v>
      </c>
      <c r="I12" s="47">
        <v>62.7</v>
      </c>
      <c r="J12" s="47">
        <v>70</v>
      </c>
      <c r="K12" s="47">
        <v>74.599999999999994</v>
      </c>
      <c r="L12" s="47">
        <v>8.1999999999999993</v>
      </c>
      <c r="M12" s="47">
        <v>29</v>
      </c>
      <c r="N12" s="47">
        <v>11</v>
      </c>
      <c r="O12" s="47">
        <v>79</v>
      </c>
      <c r="P12" s="47">
        <v>31.6</v>
      </c>
      <c r="Q12" s="47">
        <v>9</v>
      </c>
      <c r="R12" s="47">
        <v>7.8</v>
      </c>
      <c r="S12" s="47">
        <v>8.5</v>
      </c>
      <c r="T12" s="47">
        <v>8</v>
      </c>
      <c r="U12" s="47">
        <v>31.9</v>
      </c>
      <c r="V12" s="47">
        <v>9.1999999999999993</v>
      </c>
      <c r="W12" s="47">
        <v>60.6</v>
      </c>
      <c r="X12" s="47">
        <v>31.2</v>
      </c>
      <c r="Y12" s="48">
        <v>15689</v>
      </c>
      <c r="Z12" s="49">
        <v>0.46899999999999997</v>
      </c>
      <c r="AA12" s="48">
        <v>5572</v>
      </c>
      <c r="AB12" s="47">
        <v>75.5</v>
      </c>
      <c r="AC12" s="47">
        <v>29</v>
      </c>
      <c r="AD12" s="47">
        <v>45.8</v>
      </c>
      <c r="AE12" s="47">
        <v>75.599999999999994</v>
      </c>
      <c r="AF12" s="47">
        <v>3.2</v>
      </c>
      <c r="AG12" s="47">
        <v>56.2</v>
      </c>
      <c r="AH12" s="47">
        <v>23.1</v>
      </c>
      <c r="AI12" s="47">
        <v>40.200000000000003</v>
      </c>
      <c r="AJ12" s="47">
        <v>0.8</v>
      </c>
      <c r="AK12" s="47">
        <v>34.299999999999997</v>
      </c>
      <c r="AM12" s="47">
        <f t="shared" si="1"/>
        <v>32</v>
      </c>
      <c r="AN12" s="47">
        <f t="shared" si="2"/>
        <v>31</v>
      </c>
      <c r="AO12" s="47">
        <f t="shared" si="3"/>
        <v>30</v>
      </c>
      <c r="AP12" s="47">
        <f t="shared" si="4"/>
        <v>1</v>
      </c>
      <c r="AQ12" s="47">
        <f t="shared" si="5"/>
        <v>4</v>
      </c>
      <c r="AR12" s="47">
        <f t="shared" si="6"/>
        <v>12</v>
      </c>
      <c r="AS12" s="47">
        <f t="shared" si="7"/>
        <v>18</v>
      </c>
      <c r="AT12" s="47">
        <f t="shared" si="8"/>
        <v>26</v>
      </c>
      <c r="AU12" s="47">
        <f t="shared" si="9"/>
        <v>30</v>
      </c>
      <c r="AV12" s="47">
        <f t="shared" si="10"/>
        <v>23</v>
      </c>
      <c r="AW12" s="47">
        <f t="shared" si="11"/>
        <v>32</v>
      </c>
      <c r="AX12" s="47">
        <f t="shared" si="12"/>
        <v>16</v>
      </c>
      <c r="AY12" s="47">
        <f t="shared" si="13"/>
        <v>5</v>
      </c>
      <c r="AZ12" s="47">
        <f t="shared" si="14"/>
        <v>32</v>
      </c>
      <c r="BA12" s="47">
        <f t="shared" si="15"/>
        <v>25</v>
      </c>
      <c r="BB12" s="47">
        <f t="shared" si="16"/>
        <v>32</v>
      </c>
      <c r="BC12" s="47">
        <f t="shared" si="17"/>
        <v>12</v>
      </c>
      <c r="BD12" s="47">
        <f t="shared" si="18"/>
        <v>2</v>
      </c>
      <c r="BE12" s="47">
        <f t="shared" si="19"/>
        <v>6</v>
      </c>
      <c r="BF12" s="47">
        <f t="shared" si="20"/>
        <v>27</v>
      </c>
      <c r="BG12" s="47">
        <f t="shared" si="21"/>
        <v>15</v>
      </c>
      <c r="BH12" s="47">
        <f t="shared" si="22"/>
        <v>23</v>
      </c>
      <c r="BI12" s="47">
        <f t="shared" si="23"/>
        <v>32</v>
      </c>
      <c r="BJ12" s="47">
        <f t="shared" si="24"/>
        <v>1</v>
      </c>
      <c r="BK12" s="47">
        <f t="shared" si="25"/>
        <v>32</v>
      </c>
      <c r="BL12" s="47">
        <f t="shared" si="26"/>
        <v>1</v>
      </c>
      <c r="BM12" s="47">
        <f t="shared" si="27"/>
        <v>1</v>
      </c>
      <c r="BN12" s="47">
        <f t="shared" si="28"/>
        <v>1</v>
      </c>
      <c r="BO12" s="47">
        <f t="shared" si="29"/>
        <v>3</v>
      </c>
      <c r="BP12" s="47">
        <f t="shared" si="30"/>
        <v>21</v>
      </c>
      <c r="BQ12" s="47">
        <f t="shared" si="31"/>
        <v>29</v>
      </c>
      <c r="BR12" s="47">
        <f t="shared" si="32"/>
        <v>1</v>
      </c>
      <c r="BS12" s="47">
        <f t="shared" si="33"/>
        <v>30</v>
      </c>
      <c r="BT12" s="47">
        <f t="shared" si="34"/>
        <v>31</v>
      </c>
      <c r="BU12" s="47">
        <f t="shared" si="35"/>
        <v>32</v>
      </c>
    </row>
    <row r="13" spans="1:73" x14ac:dyDescent="0.2">
      <c r="A13">
        <v>8</v>
      </c>
      <c r="B13" s="46" t="s">
        <v>7</v>
      </c>
      <c r="C13" s="47">
        <v>65.3</v>
      </c>
      <c r="D13" s="47">
        <v>82.9</v>
      </c>
      <c r="E13" s="47">
        <v>95.6</v>
      </c>
      <c r="F13" s="47">
        <v>4</v>
      </c>
      <c r="G13" s="47">
        <v>46.7</v>
      </c>
      <c r="H13" s="47">
        <v>31.8</v>
      </c>
      <c r="I13" s="47">
        <v>61.3</v>
      </c>
      <c r="J13" s="47">
        <v>72.900000000000006</v>
      </c>
      <c r="K13" s="47">
        <v>75.7</v>
      </c>
      <c r="L13" s="47">
        <v>8.3000000000000007</v>
      </c>
      <c r="M13" s="47">
        <v>38.700000000000003</v>
      </c>
      <c r="N13" s="47">
        <v>15.5</v>
      </c>
      <c r="O13" s="47">
        <v>96</v>
      </c>
      <c r="P13" s="47">
        <v>45.5</v>
      </c>
      <c r="Q13" s="47">
        <v>11.6</v>
      </c>
      <c r="R13" s="47">
        <v>10</v>
      </c>
      <c r="S13" s="47">
        <v>8.6999999999999993</v>
      </c>
      <c r="T13" s="47">
        <v>7.7</v>
      </c>
      <c r="U13" s="47">
        <v>19.7</v>
      </c>
      <c r="V13" s="47">
        <v>91.2</v>
      </c>
      <c r="W13" s="47">
        <v>50.5</v>
      </c>
      <c r="X13" s="47">
        <v>32.200000000000003</v>
      </c>
      <c r="Y13" s="48">
        <v>25690</v>
      </c>
      <c r="Z13" s="49">
        <v>0.442</v>
      </c>
      <c r="AA13" s="48">
        <v>11831</v>
      </c>
      <c r="AB13" s="47">
        <v>25.3</v>
      </c>
      <c r="AC13" s="47">
        <v>2.9</v>
      </c>
      <c r="AD13" s="47">
        <v>21.1</v>
      </c>
      <c r="AE13" s="47">
        <v>36.200000000000003</v>
      </c>
      <c r="AF13" s="47">
        <v>3.4</v>
      </c>
      <c r="AG13" s="47">
        <v>60.5</v>
      </c>
      <c r="AH13" s="47">
        <v>17.899999999999999</v>
      </c>
      <c r="AI13" s="47">
        <v>82</v>
      </c>
      <c r="AJ13" s="47">
        <v>1.2</v>
      </c>
      <c r="AK13" s="47">
        <v>64.099999999999994</v>
      </c>
      <c r="AM13" s="47">
        <f t="shared" si="1"/>
        <v>12</v>
      </c>
      <c r="AN13" s="47">
        <f t="shared" si="2"/>
        <v>1</v>
      </c>
      <c r="AO13" s="47">
        <f t="shared" si="3"/>
        <v>9</v>
      </c>
      <c r="AP13" s="47">
        <f t="shared" si="4"/>
        <v>16</v>
      </c>
      <c r="AQ13" s="47">
        <f t="shared" si="5"/>
        <v>26</v>
      </c>
      <c r="AR13" s="47">
        <f t="shared" si="6"/>
        <v>15</v>
      </c>
      <c r="AS13" s="47">
        <f t="shared" si="7"/>
        <v>22</v>
      </c>
      <c r="AT13" s="47">
        <f t="shared" si="8"/>
        <v>19</v>
      </c>
      <c r="AU13" s="47">
        <f t="shared" si="9"/>
        <v>10</v>
      </c>
      <c r="AV13" s="47">
        <f t="shared" si="10"/>
        <v>16</v>
      </c>
      <c r="AW13" s="47">
        <f t="shared" si="11"/>
        <v>13</v>
      </c>
      <c r="AX13" s="47">
        <f t="shared" si="12"/>
        <v>4</v>
      </c>
      <c r="AY13" s="47">
        <f t="shared" si="13"/>
        <v>2</v>
      </c>
      <c r="AZ13" s="47">
        <f t="shared" si="14"/>
        <v>18</v>
      </c>
      <c r="BA13" s="47">
        <f t="shared" si="15"/>
        <v>10</v>
      </c>
      <c r="BB13" s="47">
        <f t="shared" si="16"/>
        <v>13</v>
      </c>
      <c r="BC13" s="47">
        <f t="shared" si="17"/>
        <v>4</v>
      </c>
      <c r="BD13" s="47">
        <f t="shared" si="18"/>
        <v>20</v>
      </c>
      <c r="BE13" s="47">
        <f t="shared" si="19"/>
        <v>29</v>
      </c>
      <c r="BF13" s="47">
        <f t="shared" si="20"/>
        <v>1</v>
      </c>
      <c r="BG13" s="47">
        <f t="shared" si="21"/>
        <v>26</v>
      </c>
      <c r="BH13" s="47">
        <f t="shared" si="22"/>
        <v>22</v>
      </c>
      <c r="BI13" s="47">
        <f t="shared" si="23"/>
        <v>19</v>
      </c>
      <c r="BJ13" s="47">
        <f t="shared" si="24"/>
        <v>13</v>
      </c>
      <c r="BK13" s="47">
        <f t="shared" si="25"/>
        <v>6</v>
      </c>
      <c r="BL13" s="47">
        <f t="shared" si="26"/>
        <v>30</v>
      </c>
      <c r="BM13" s="47">
        <f t="shared" si="27"/>
        <v>24</v>
      </c>
      <c r="BN13" s="47">
        <f t="shared" si="28"/>
        <v>20</v>
      </c>
      <c r="BO13" s="47">
        <f t="shared" si="29"/>
        <v>31</v>
      </c>
      <c r="BP13" s="47">
        <f t="shared" si="30"/>
        <v>17</v>
      </c>
      <c r="BQ13" s="47">
        <f t="shared" si="31"/>
        <v>11</v>
      </c>
      <c r="BR13" s="47">
        <f t="shared" si="32"/>
        <v>22</v>
      </c>
      <c r="BS13" s="47">
        <f t="shared" si="33"/>
        <v>15</v>
      </c>
      <c r="BT13" s="47">
        <f t="shared" si="34"/>
        <v>1</v>
      </c>
      <c r="BU13" s="47">
        <f t="shared" si="35"/>
        <v>25</v>
      </c>
    </row>
    <row r="14" spans="1:73" x14ac:dyDescent="0.2">
      <c r="A14">
        <v>9</v>
      </c>
      <c r="B14" s="46" t="s">
        <v>8</v>
      </c>
      <c r="C14" s="47">
        <v>80.2</v>
      </c>
      <c r="D14" s="47">
        <v>73.3</v>
      </c>
      <c r="E14" s="47">
        <v>97.5</v>
      </c>
      <c r="F14" s="47">
        <v>3.8</v>
      </c>
      <c r="G14" s="47">
        <v>52.3</v>
      </c>
      <c r="H14" s="47">
        <v>22.3</v>
      </c>
      <c r="I14" s="47">
        <v>46.6</v>
      </c>
      <c r="J14" s="47">
        <v>72.099999999999994</v>
      </c>
      <c r="K14" s="47">
        <v>76.8</v>
      </c>
      <c r="L14" s="47">
        <v>8.1999999999999993</v>
      </c>
      <c r="M14" s="47">
        <v>36.299999999999997</v>
      </c>
      <c r="N14" s="47">
        <v>14.5</v>
      </c>
      <c r="O14" s="47">
        <v>69.900000000000006</v>
      </c>
      <c r="P14" s="47">
        <v>62.3</v>
      </c>
      <c r="Q14" s="47">
        <v>13.8</v>
      </c>
      <c r="R14" s="47">
        <v>11.5</v>
      </c>
      <c r="S14" s="47">
        <v>8.1999999999999993</v>
      </c>
      <c r="T14" s="47">
        <v>7.5</v>
      </c>
      <c r="U14" s="47">
        <v>28.6</v>
      </c>
      <c r="V14" s="47">
        <v>14.8</v>
      </c>
      <c r="W14" s="47">
        <v>45.8</v>
      </c>
      <c r="X14" s="47">
        <v>58.4</v>
      </c>
      <c r="Y14" s="48">
        <v>53334</v>
      </c>
      <c r="Z14" s="49">
        <v>0.44700000000000001</v>
      </c>
      <c r="AA14" s="48">
        <v>12323</v>
      </c>
      <c r="AB14" s="47">
        <v>32.6</v>
      </c>
      <c r="AC14" s="47">
        <v>4.3</v>
      </c>
      <c r="AD14" s="47">
        <v>27.3</v>
      </c>
      <c r="AE14" s="47">
        <v>47.7</v>
      </c>
      <c r="AF14" s="47">
        <v>6.9</v>
      </c>
      <c r="AG14" s="47">
        <v>58.2</v>
      </c>
      <c r="AH14" s="47">
        <v>23</v>
      </c>
      <c r="AI14" s="47">
        <v>100</v>
      </c>
      <c r="AJ14" s="47">
        <v>1.2</v>
      </c>
      <c r="AK14" s="47">
        <v>94.6</v>
      </c>
      <c r="AM14" s="47">
        <f t="shared" si="1"/>
        <v>1</v>
      </c>
      <c r="AN14" s="47">
        <f t="shared" si="2"/>
        <v>20</v>
      </c>
      <c r="AO14" s="47">
        <f t="shared" si="3"/>
        <v>5</v>
      </c>
      <c r="AP14" s="47">
        <f t="shared" si="4"/>
        <v>17</v>
      </c>
      <c r="AQ14" s="47">
        <f t="shared" si="5"/>
        <v>18</v>
      </c>
      <c r="AR14" s="47">
        <f t="shared" si="6"/>
        <v>30</v>
      </c>
      <c r="AS14" s="47">
        <f t="shared" si="7"/>
        <v>32</v>
      </c>
      <c r="AT14" s="47">
        <f t="shared" si="8"/>
        <v>21</v>
      </c>
      <c r="AU14" s="47">
        <f t="shared" si="9"/>
        <v>1</v>
      </c>
      <c r="AV14" s="47">
        <f t="shared" si="10"/>
        <v>23</v>
      </c>
      <c r="AW14" s="47">
        <f t="shared" si="11"/>
        <v>17</v>
      </c>
      <c r="AX14" s="47">
        <f t="shared" si="12"/>
        <v>5</v>
      </c>
      <c r="AY14" s="47">
        <f t="shared" si="13"/>
        <v>8</v>
      </c>
      <c r="AZ14" s="47">
        <f t="shared" si="14"/>
        <v>1</v>
      </c>
      <c r="BA14" s="47">
        <f t="shared" si="15"/>
        <v>3</v>
      </c>
      <c r="BB14" s="47">
        <f t="shared" si="16"/>
        <v>1</v>
      </c>
      <c r="BC14" s="47">
        <f t="shared" si="17"/>
        <v>29</v>
      </c>
      <c r="BD14" s="47">
        <f t="shared" si="18"/>
        <v>30</v>
      </c>
      <c r="BE14" s="47">
        <f t="shared" si="19"/>
        <v>11</v>
      </c>
      <c r="BF14" s="47">
        <f t="shared" si="20"/>
        <v>20</v>
      </c>
      <c r="BG14" s="47">
        <f t="shared" si="21"/>
        <v>31</v>
      </c>
      <c r="BH14" s="47">
        <f t="shared" si="22"/>
        <v>1</v>
      </c>
      <c r="BI14" s="47">
        <f t="shared" si="23"/>
        <v>1</v>
      </c>
      <c r="BJ14" s="47">
        <f t="shared" si="24"/>
        <v>11</v>
      </c>
      <c r="BK14" s="47">
        <f t="shared" si="25"/>
        <v>4</v>
      </c>
      <c r="BL14" s="47">
        <f t="shared" si="26"/>
        <v>20</v>
      </c>
      <c r="BM14" s="47">
        <f t="shared" si="27"/>
        <v>17</v>
      </c>
      <c r="BN14" s="47">
        <f t="shared" si="28"/>
        <v>12</v>
      </c>
      <c r="BO14" s="47">
        <f t="shared" si="29"/>
        <v>22</v>
      </c>
      <c r="BP14" s="47">
        <f t="shared" si="30"/>
        <v>1</v>
      </c>
      <c r="BQ14" s="47">
        <f t="shared" si="31"/>
        <v>22</v>
      </c>
      <c r="BR14" s="47">
        <f t="shared" si="32"/>
        <v>2</v>
      </c>
      <c r="BS14" s="47">
        <f t="shared" si="33"/>
        <v>1</v>
      </c>
      <c r="BT14" s="47">
        <f t="shared" si="34"/>
        <v>1</v>
      </c>
      <c r="BU14" s="47">
        <f t="shared" si="35"/>
        <v>3</v>
      </c>
    </row>
    <row r="15" spans="1:73" x14ac:dyDescent="0.2">
      <c r="A15">
        <v>10</v>
      </c>
      <c r="B15" s="46" t="s">
        <v>9</v>
      </c>
      <c r="C15" s="47">
        <v>49.5</v>
      </c>
      <c r="D15" s="47">
        <v>77.099999999999994</v>
      </c>
      <c r="E15" s="47">
        <v>95.1</v>
      </c>
      <c r="F15" s="47">
        <v>3.2</v>
      </c>
      <c r="G15" s="47">
        <v>43.1</v>
      </c>
      <c r="H15" s="47">
        <v>38.5</v>
      </c>
      <c r="I15" s="47">
        <v>62.2</v>
      </c>
      <c r="J15" s="47">
        <v>73.900000000000006</v>
      </c>
      <c r="K15" s="47">
        <v>75.400000000000006</v>
      </c>
      <c r="L15" s="47">
        <v>8.3000000000000007</v>
      </c>
      <c r="M15" s="47">
        <v>37.6</v>
      </c>
      <c r="N15" s="47">
        <v>8.5</v>
      </c>
      <c r="O15" s="47">
        <v>25.8</v>
      </c>
      <c r="P15" s="47">
        <v>42.2</v>
      </c>
      <c r="Q15" s="47">
        <v>12.4</v>
      </c>
      <c r="R15" s="47">
        <v>9.6999999999999993</v>
      </c>
      <c r="S15" s="47">
        <v>8.5</v>
      </c>
      <c r="T15" s="47">
        <v>7.9</v>
      </c>
      <c r="U15" s="47">
        <v>23.7</v>
      </c>
      <c r="V15" s="47">
        <v>9</v>
      </c>
      <c r="W15" s="47">
        <v>58.9</v>
      </c>
      <c r="X15" s="47">
        <v>29.1</v>
      </c>
      <c r="Y15" s="48">
        <v>22970</v>
      </c>
      <c r="Z15" s="49">
        <v>0.45200000000000001</v>
      </c>
      <c r="AA15" s="48">
        <v>9429</v>
      </c>
      <c r="AB15" s="47">
        <v>38.700000000000003</v>
      </c>
      <c r="AC15" s="47">
        <v>4.3</v>
      </c>
      <c r="AD15" s="47">
        <v>23.5</v>
      </c>
      <c r="AE15" s="47">
        <v>52.1</v>
      </c>
      <c r="AF15" s="47">
        <v>4.0999999999999996</v>
      </c>
      <c r="AG15" s="47">
        <v>60.8</v>
      </c>
      <c r="AH15" s="47">
        <v>16.899999999999999</v>
      </c>
      <c r="AI15" s="47">
        <v>80.099999999999994</v>
      </c>
      <c r="AJ15" s="47">
        <v>1.1000000000000001</v>
      </c>
      <c r="AK15" s="47">
        <v>81.7</v>
      </c>
      <c r="AM15" s="47">
        <f t="shared" si="1"/>
        <v>22</v>
      </c>
      <c r="AN15" s="47">
        <f t="shared" si="2"/>
        <v>13</v>
      </c>
      <c r="AO15" s="47">
        <f t="shared" si="3"/>
        <v>10</v>
      </c>
      <c r="AP15" s="47">
        <f t="shared" si="4"/>
        <v>23</v>
      </c>
      <c r="AQ15" s="47">
        <f t="shared" si="5"/>
        <v>31</v>
      </c>
      <c r="AR15" s="47">
        <f t="shared" si="6"/>
        <v>5</v>
      </c>
      <c r="AS15" s="47">
        <f t="shared" si="7"/>
        <v>20</v>
      </c>
      <c r="AT15" s="47">
        <f t="shared" si="8"/>
        <v>14</v>
      </c>
      <c r="AU15" s="47">
        <f t="shared" si="9"/>
        <v>19</v>
      </c>
      <c r="AV15" s="47">
        <f t="shared" si="10"/>
        <v>16</v>
      </c>
      <c r="AW15" s="47">
        <f t="shared" si="11"/>
        <v>14</v>
      </c>
      <c r="AX15" s="47">
        <f t="shared" si="12"/>
        <v>24</v>
      </c>
      <c r="AY15" s="47">
        <f t="shared" si="13"/>
        <v>32</v>
      </c>
      <c r="AZ15" s="47">
        <f t="shared" si="14"/>
        <v>23</v>
      </c>
      <c r="BA15" s="47">
        <f t="shared" si="15"/>
        <v>7</v>
      </c>
      <c r="BB15" s="47">
        <f t="shared" si="16"/>
        <v>18</v>
      </c>
      <c r="BC15" s="47">
        <f t="shared" si="17"/>
        <v>12</v>
      </c>
      <c r="BD15" s="47">
        <f t="shared" si="18"/>
        <v>8</v>
      </c>
      <c r="BE15" s="47">
        <f t="shared" si="19"/>
        <v>24</v>
      </c>
      <c r="BF15" s="47">
        <f t="shared" si="20"/>
        <v>28</v>
      </c>
      <c r="BG15" s="47">
        <f t="shared" si="21"/>
        <v>17</v>
      </c>
      <c r="BH15" s="47">
        <f t="shared" si="22"/>
        <v>26</v>
      </c>
      <c r="BI15" s="47">
        <f t="shared" si="23"/>
        <v>22</v>
      </c>
      <c r="BJ15" s="47">
        <f t="shared" si="24"/>
        <v>9</v>
      </c>
      <c r="BK15" s="47">
        <f t="shared" si="25"/>
        <v>16</v>
      </c>
      <c r="BL15" s="47">
        <f t="shared" si="26"/>
        <v>18</v>
      </c>
      <c r="BM15" s="47">
        <f t="shared" si="27"/>
        <v>17</v>
      </c>
      <c r="BN15" s="47">
        <f t="shared" si="28"/>
        <v>17</v>
      </c>
      <c r="BO15" s="47">
        <f t="shared" si="29"/>
        <v>18</v>
      </c>
      <c r="BP15" s="47">
        <f t="shared" si="30"/>
        <v>10</v>
      </c>
      <c r="BQ15" s="47">
        <f t="shared" si="31"/>
        <v>9</v>
      </c>
      <c r="BR15" s="47">
        <f t="shared" si="32"/>
        <v>26</v>
      </c>
      <c r="BS15" s="47">
        <f t="shared" si="33"/>
        <v>18</v>
      </c>
      <c r="BT15" s="47">
        <f t="shared" si="34"/>
        <v>5</v>
      </c>
      <c r="BU15" s="47">
        <f t="shared" si="35"/>
        <v>17</v>
      </c>
    </row>
    <row r="16" spans="1:73" x14ac:dyDescent="0.2">
      <c r="A16">
        <v>11</v>
      </c>
      <c r="B16" s="46" t="s">
        <v>10</v>
      </c>
      <c r="C16" s="47">
        <v>54.7</v>
      </c>
      <c r="D16" s="47">
        <v>75.2</v>
      </c>
      <c r="E16" s="47">
        <v>93.3</v>
      </c>
      <c r="F16" s="47">
        <v>1</v>
      </c>
      <c r="G16" s="47">
        <v>44.2</v>
      </c>
      <c r="H16" s="47">
        <v>33</v>
      </c>
      <c r="I16" s="47">
        <v>63.1</v>
      </c>
      <c r="J16" s="47">
        <v>70.8</v>
      </c>
      <c r="K16" s="47">
        <v>75.5</v>
      </c>
      <c r="L16" s="47">
        <v>8.4</v>
      </c>
      <c r="M16" s="47">
        <v>30</v>
      </c>
      <c r="N16" s="47">
        <v>10.5</v>
      </c>
      <c r="O16" s="47">
        <v>37.1</v>
      </c>
      <c r="P16" s="47">
        <v>37</v>
      </c>
      <c r="Q16" s="47">
        <v>14.1</v>
      </c>
      <c r="R16" s="47">
        <v>9</v>
      </c>
      <c r="S16" s="47">
        <v>8.5</v>
      </c>
      <c r="T16" s="47">
        <v>7.8</v>
      </c>
      <c r="U16" s="47">
        <v>39.1</v>
      </c>
      <c r="V16" s="47">
        <v>86.3</v>
      </c>
      <c r="W16" s="47">
        <v>62</v>
      </c>
      <c r="X16" s="47">
        <v>47.7</v>
      </c>
      <c r="Y16" s="48">
        <v>29106</v>
      </c>
      <c r="Z16" s="49">
        <v>0.38600000000000001</v>
      </c>
      <c r="AA16" s="48">
        <v>9438</v>
      </c>
      <c r="AB16" s="47">
        <v>42.7</v>
      </c>
      <c r="AC16" s="47">
        <v>4.5</v>
      </c>
      <c r="AD16" s="47">
        <v>25.5</v>
      </c>
      <c r="AE16" s="47">
        <v>55.6</v>
      </c>
      <c r="AF16" s="47">
        <v>5.2</v>
      </c>
      <c r="AG16" s="47">
        <v>59.6</v>
      </c>
      <c r="AH16" s="47">
        <v>20.5</v>
      </c>
      <c r="AI16" s="47">
        <v>86.8</v>
      </c>
      <c r="AJ16" s="47">
        <v>1</v>
      </c>
      <c r="AK16" s="47">
        <v>89.7</v>
      </c>
      <c r="AM16" s="47">
        <f t="shared" si="1"/>
        <v>18</v>
      </c>
      <c r="AN16" s="47">
        <f t="shared" si="2"/>
        <v>18</v>
      </c>
      <c r="AO16" s="47">
        <f t="shared" si="3"/>
        <v>15</v>
      </c>
      <c r="AP16" s="47">
        <f t="shared" si="4"/>
        <v>32</v>
      </c>
      <c r="AQ16" s="47">
        <f t="shared" si="5"/>
        <v>29</v>
      </c>
      <c r="AR16" s="47">
        <f t="shared" si="6"/>
        <v>13</v>
      </c>
      <c r="AS16" s="47">
        <f t="shared" si="7"/>
        <v>16</v>
      </c>
      <c r="AT16" s="47">
        <f t="shared" si="8"/>
        <v>25</v>
      </c>
      <c r="AU16" s="47">
        <f t="shared" si="9"/>
        <v>15</v>
      </c>
      <c r="AV16" s="47">
        <f t="shared" si="10"/>
        <v>9</v>
      </c>
      <c r="AW16" s="47">
        <f t="shared" si="11"/>
        <v>31</v>
      </c>
      <c r="AX16" s="47">
        <f t="shared" si="12"/>
        <v>19</v>
      </c>
      <c r="AY16" s="47">
        <f t="shared" si="13"/>
        <v>27</v>
      </c>
      <c r="AZ16" s="47">
        <f t="shared" si="14"/>
        <v>28</v>
      </c>
      <c r="BA16" s="47">
        <f t="shared" si="15"/>
        <v>2</v>
      </c>
      <c r="BB16" s="47">
        <f t="shared" si="16"/>
        <v>27</v>
      </c>
      <c r="BC16" s="47">
        <f t="shared" si="17"/>
        <v>12</v>
      </c>
      <c r="BD16" s="47">
        <f t="shared" si="18"/>
        <v>13</v>
      </c>
      <c r="BE16" s="47">
        <f t="shared" si="19"/>
        <v>1</v>
      </c>
      <c r="BF16" s="47">
        <f t="shared" si="20"/>
        <v>3</v>
      </c>
      <c r="BG16" s="47">
        <f t="shared" si="21"/>
        <v>11</v>
      </c>
      <c r="BH16" s="47">
        <f t="shared" si="22"/>
        <v>6</v>
      </c>
      <c r="BI16" s="47">
        <f t="shared" si="23"/>
        <v>13</v>
      </c>
      <c r="BJ16" s="47">
        <f t="shared" si="24"/>
        <v>32</v>
      </c>
      <c r="BK16" s="47">
        <f t="shared" si="25"/>
        <v>15</v>
      </c>
      <c r="BL16" s="47">
        <f t="shared" si="26"/>
        <v>17</v>
      </c>
      <c r="BM16" s="47">
        <f t="shared" si="27"/>
        <v>16</v>
      </c>
      <c r="BN16" s="47">
        <f t="shared" si="28"/>
        <v>14</v>
      </c>
      <c r="BO16" s="47">
        <f t="shared" si="29"/>
        <v>17</v>
      </c>
      <c r="BP16" s="47">
        <f t="shared" si="30"/>
        <v>6</v>
      </c>
      <c r="BQ16" s="47">
        <f t="shared" si="31"/>
        <v>16</v>
      </c>
      <c r="BR16" s="47">
        <f t="shared" si="32"/>
        <v>8</v>
      </c>
      <c r="BS16" s="47">
        <f t="shared" si="33"/>
        <v>7</v>
      </c>
      <c r="BT16" s="47">
        <f t="shared" si="34"/>
        <v>17</v>
      </c>
      <c r="BU16" s="47">
        <f t="shared" si="35"/>
        <v>10</v>
      </c>
    </row>
    <row r="17" spans="1:73" x14ac:dyDescent="0.2">
      <c r="A17">
        <v>12</v>
      </c>
      <c r="B17" s="46" t="s">
        <v>11</v>
      </c>
      <c r="C17" s="47">
        <v>47</v>
      </c>
      <c r="D17" s="47">
        <v>66.5</v>
      </c>
      <c r="E17" s="47">
        <v>71.5</v>
      </c>
      <c r="F17" s="47">
        <v>9.3000000000000007</v>
      </c>
      <c r="G17" s="47">
        <v>57.8</v>
      </c>
      <c r="H17" s="47">
        <v>22.7</v>
      </c>
      <c r="I17" s="47">
        <v>62.6</v>
      </c>
      <c r="J17" s="47">
        <v>68.3</v>
      </c>
      <c r="K17" s="47">
        <v>73.599999999999994</v>
      </c>
      <c r="L17" s="47">
        <v>8.1</v>
      </c>
      <c r="M17" s="47">
        <v>34.700000000000003</v>
      </c>
      <c r="N17" s="47">
        <v>5.5</v>
      </c>
      <c r="O17" s="47">
        <v>61.7</v>
      </c>
      <c r="P17" s="47">
        <v>37.4</v>
      </c>
      <c r="Q17" s="47">
        <v>10.1</v>
      </c>
      <c r="R17" s="47">
        <v>8.4</v>
      </c>
      <c r="S17" s="47">
        <v>8.1999999999999993</v>
      </c>
      <c r="T17" s="47">
        <v>7.8</v>
      </c>
      <c r="U17" s="47">
        <v>26.5</v>
      </c>
      <c r="V17" s="47">
        <v>41.2</v>
      </c>
      <c r="W17" s="47">
        <v>54.4</v>
      </c>
      <c r="X17" s="47">
        <v>30.4</v>
      </c>
      <c r="Y17" s="48">
        <v>30769</v>
      </c>
      <c r="Z17" s="49">
        <v>0.44500000000000001</v>
      </c>
      <c r="AA17" s="48">
        <v>6379</v>
      </c>
      <c r="AB17" s="47">
        <v>66.400000000000006</v>
      </c>
      <c r="AC17" s="47">
        <v>25.5</v>
      </c>
      <c r="AD17" s="47">
        <v>27.9</v>
      </c>
      <c r="AE17" s="47">
        <v>77.2</v>
      </c>
      <c r="AF17" s="47">
        <v>1.6</v>
      </c>
      <c r="AG17" s="47">
        <v>57.8</v>
      </c>
      <c r="AH17" s="47">
        <v>16.899999999999999</v>
      </c>
      <c r="AI17" s="47">
        <v>50</v>
      </c>
      <c r="AJ17" s="47">
        <v>0.8</v>
      </c>
      <c r="AK17" s="47">
        <v>54.1</v>
      </c>
      <c r="AM17" s="47">
        <f t="shared" si="1"/>
        <v>26</v>
      </c>
      <c r="AN17" s="47">
        <f t="shared" si="2"/>
        <v>28</v>
      </c>
      <c r="AO17" s="47">
        <f t="shared" si="3"/>
        <v>32</v>
      </c>
      <c r="AP17" s="47">
        <f t="shared" si="4"/>
        <v>3</v>
      </c>
      <c r="AQ17" s="47">
        <f t="shared" si="5"/>
        <v>7</v>
      </c>
      <c r="AR17" s="47">
        <f t="shared" si="6"/>
        <v>29</v>
      </c>
      <c r="AS17" s="47">
        <f t="shared" si="7"/>
        <v>19</v>
      </c>
      <c r="AT17" s="47">
        <f t="shared" si="8"/>
        <v>28</v>
      </c>
      <c r="AU17" s="47">
        <f t="shared" si="9"/>
        <v>32</v>
      </c>
      <c r="AV17" s="47">
        <f t="shared" si="10"/>
        <v>28</v>
      </c>
      <c r="AW17" s="47">
        <f t="shared" si="11"/>
        <v>19</v>
      </c>
      <c r="AX17" s="47">
        <f t="shared" si="12"/>
        <v>32</v>
      </c>
      <c r="AY17" s="47">
        <f t="shared" si="13"/>
        <v>18</v>
      </c>
      <c r="AZ17" s="47">
        <f t="shared" si="14"/>
        <v>27</v>
      </c>
      <c r="BA17" s="47">
        <f t="shared" si="15"/>
        <v>21</v>
      </c>
      <c r="BB17" s="47">
        <f t="shared" si="16"/>
        <v>30</v>
      </c>
      <c r="BC17" s="47">
        <f t="shared" si="17"/>
        <v>29</v>
      </c>
      <c r="BD17" s="47">
        <f t="shared" si="18"/>
        <v>13</v>
      </c>
      <c r="BE17" s="47">
        <f t="shared" si="19"/>
        <v>16</v>
      </c>
      <c r="BF17" s="47">
        <f t="shared" si="20"/>
        <v>9</v>
      </c>
      <c r="BG17" s="47">
        <f t="shared" si="21"/>
        <v>23</v>
      </c>
      <c r="BH17" s="47">
        <f t="shared" si="22"/>
        <v>24</v>
      </c>
      <c r="BI17" s="47">
        <f t="shared" si="23"/>
        <v>11</v>
      </c>
      <c r="BJ17" s="47">
        <f t="shared" si="24"/>
        <v>12</v>
      </c>
      <c r="BK17" s="47">
        <f t="shared" si="25"/>
        <v>31</v>
      </c>
      <c r="BL17" s="47">
        <f t="shared" si="26"/>
        <v>2</v>
      </c>
      <c r="BM17" s="47">
        <f t="shared" si="27"/>
        <v>2</v>
      </c>
      <c r="BN17" s="47">
        <f t="shared" si="28"/>
        <v>10</v>
      </c>
      <c r="BO17" s="47">
        <f t="shared" si="29"/>
        <v>2</v>
      </c>
      <c r="BP17" s="47">
        <f t="shared" si="30"/>
        <v>31</v>
      </c>
      <c r="BQ17" s="47">
        <f t="shared" si="31"/>
        <v>24</v>
      </c>
      <c r="BR17" s="47">
        <f t="shared" si="32"/>
        <v>26</v>
      </c>
      <c r="BS17" s="47">
        <f t="shared" si="33"/>
        <v>25</v>
      </c>
      <c r="BT17" s="47">
        <f t="shared" si="34"/>
        <v>31</v>
      </c>
      <c r="BU17" s="47">
        <f t="shared" si="35"/>
        <v>29</v>
      </c>
    </row>
    <row r="18" spans="1:73" x14ac:dyDescent="0.2">
      <c r="A18">
        <v>13</v>
      </c>
      <c r="B18" s="46" t="s">
        <v>12</v>
      </c>
      <c r="C18" s="47">
        <v>45</v>
      </c>
      <c r="D18" s="47">
        <v>73.099999999999994</v>
      </c>
      <c r="E18" s="47">
        <v>91.5</v>
      </c>
      <c r="F18" s="47">
        <v>2.9</v>
      </c>
      <c r="G18" s="47">
        <v>46.7</v>
      </c>
      <c r="H18" s="47">
        <v>27.3</v>
      </c>
      <c r="I18" s="47">
        <v>66.8</v>
      </c>
      <c r="J18" s="47">
        <v>74.5</v>
      </c>
      <c r="K18" s="47">
        <v>75.400000000000006</v>
      </c>
      <c r="L18" s="47">
        <v>8.4</v>
      </c>
      <c r="M18" s="47">
        <v>31.2</v>
      </c>
      <c r="N18" s="47">
        <v>7.9</v>
      </c>
      <c r="O18" s="47">
        <v>30.6</v>
      </c>
      <c r="P18" s="47">
        <v>41.6</v>
      </c>
      <c r="Q18" s="47">
        <v>10.5</v>
      </c>
      <c r="R18" s="47">
        <v>9.4</v>
      </c>
      <c r="S18" s="47">
        <v>8.4</v>
      </c>
      <c r="T18" s="47">
        <v>7.7</v>
      </c>
      <c r="U18" s="47">
        <v>30.7</v>
      </c>
      <c r="V18" s="47">
        <v>11.9</v>
      </c>
      <c r="W18" s="47">
        <v>59.4</v>
      </c>
      <c r="X18" s="47">
        <v>38.4</v>
      </c>
      <c r="Y18" s="48">
        <v>23605</v>
      </c>
      <c r="Z18" s="49">
        <v>0.40100000000000002</v>
      </c>
      <c r="AA18" s="48">
        <v>7933</v>
      </c>
      <c r="AB18" s="47">
        <v>50.8</v>
      </c>
      <c r="AC18" s="47">
        <v>8.1</v>
      </c>
      <c r="AD18" s="47">
        <v>27.8</v>
      </c>
      <c r="AE18" s="47">
        <v>72.400000000000006</v>
      </c>
      <c r="AF18" s="47">
        <v>3</v>
      </c>
      <c r="AG18" s="47">
        <v>56.5</v>
      </c>
      <c r="AH18" s="47">
        <v>20.8</v>
      </c>
      <c r="AI18" s="47">
        <v>42.5</v>
      </c>
      <c r="AJ18" s="47">
        <v>1.1000000000000001</v>
      </c>
      <c r="AK18" s="47">
        <v>84.4</v>
      </c>
      <c r="AM18" s="47">
        <f t="shared" si="1"/>
        <v>29</v>
      </c>
      <c r="AN18" s="47">
        <f t="shared" si="2"/>
        <v>21</v>
      </c>
      <c r="AO18" s="47">
        <f t="shared" si="3"/>
        <v>22</v>
      </c>
      <c r="AP18" s="47">
        <f t="shared" si="4"/>
        <v>26</v>
      </c>
      <c r="AQ18" s="47">
        <f t="shared" si="5"/>
        <v>26</v>
      </c>
      <c r="AR18" s="47">
        <f t="shared" si="6"/>
        <v>21</v>
      </c>
      <c r="AS18" s="47">
        <f t="shared" si="7"/>
        <v>9</v>
      </c>
      <c r="AT18" s="47">
        <f t="shared" si="8"/>
        <v>12</v>
      </c>
      <c r="AU18" s="47">
        <f t="shared" si="9"/>
        <v>19</v>
      </c>
      <c r="AV18" s="47">
        <f t="shared" si="10"/>
        <v>9</v>
      </c>
      <c r="AW18" s="47">
        <f t="shared" si="11"/>
        <v>28</v>
      </c>
      <c r="AX18" s="47">
        <f t="shared" si="12"/>
        <v>26</v>
      </c>
      <c r="AY18" s="47">
        <f t="shared" si="13"/>
        <v>30</v>
      </c>
      <c r="AZ18" s="47">
        <f t="shared" si="14"/>
        <v>24</v>
      </c>
      <c r="BA18" s="47">
        <f t="shared" si="15"/>
        <v>17</v>
      </c>
      <c r="BB18" s="47">
        <f t="shared" si="16"/>
        <v>24</v>
      </c>
      <c r="BC18" s="47">
        <f t="shared" si="17"/>
        <v>20</v>
      </c>
      <c r="BD18" s="47">
        <f t="shared" si="18"/>
        <v>20</v>
      </c>
      <c r="BE18" s="47">
        <f t="shared" si="19"/>
        <v>7</v>
      </c>
      <c r="BF18" s="47">
        <f t="shared" si="20"/>
        <v>23</v>
      </c>
      <c r="BG18" s="47">
        <f t="shared" si="21"/>
        <v>16</v>
      </c>
      <c r="BH18" s="47">
        <f t="shared" si="22"/>
        <v>16</v>
      </c>
      <c r="BI18" s="47">
        <f t="shared" si="23"/>
        <v>21</v>
      </c>
      <c r="BJ18" s="47">
        <f t="shared" si="24"/>
        <v>26</v>
      </c>
      <c r="BK18" s="47">
        <f t="shared" si="25"/>
        <v>26</v>
      </c>
      <c r="BL18" s="47">
        <f t="shared" si="26"/>
        <v>9</v>
      </c>
      <c r="BM18" s="47">
        <f t="shared" si="27"/>
        <v>14</v>
      </c>
      <c r="BN18" s="47">
        <f t="shared" si="28"/>
        <v>11</v>
      </c>
      <c r="BO18" s="47">
        <f t="shared" si="29"/>
        <v>4</v>
      </c>
      <c r="BP18" s="47">
        <f t="shared" si="30"/>
        <v>23</v>
      </c>
      <c r="BQ18" s="47">
        <f t="shared" si="31"/>
        <v>27</v>
      </c>
      <c r="BR18" s="47">
        <f t="shared" si="32"/>
        <v>6</v>
      </c>
      <c r="BS18" s="47">
        <f t="shared" si="33"/>
        <v>29</v>
      </c>
      <c r="BT18" s="47">
        <f t="shared" si="34"/>
        <v>5</v>
      </c>
      <c r="BU18" s="47">
        <f t="shared" si="35"/>
        <v>15</v>
      </c>
    </row>
    <row r="19" spans="1:73" x14ac:dyDescent="0.2">
      <c r="A19">
        <v>14</v>
      </c>
      <c r="B19" s="46" t="s">
        <v>13</v>
      </c>
      <c r="C19" s="47">
        <v>66.599999999999994</v>
      </c>
      <c r="D19" s="47">
        <v>67.900000000000006</v>
      </c>
      <c r="E19" s="47">
        <v>97.7</v>
      </c>
      <c r="F19" s="47">
        <v>1.7</v>
      </c>
      <c r="G19" s="47">
        <v>48.3</v>
      </c>
      <c r="H19" s="47">
        <v>27</v>
      </c>
      <c r="I19" s="47">
        <v>58.8</v>
      </c>
      <c r="J19" s="47">
        <v>80.2</v>
      </c>
      <c r="K19" s="47">
        <v>75.8</v>
      </c>
      <c r="L19" s="47">
        <v>8.4</v>
      </c>
      <c r="M19" s="47">
        <v>34.799999999999997</v>
      </c>
      <c r="N19" s="47">
        <v>12.1</v>
      </c>
      <c r="O19" s="47">
        <v>53.7</v>
      </c>
      <c r="P19" s="47">
        <v>46.1</v>
      </c>
      <c r="Q19" s="47">
        <v>1.5</v>
      </c>
      <c r="R19" s="47">
        <v>9.9</v>
      </c>
      <c r="S19" s="47">
        <v>8.6</v>
      </c>
      <c r="T19" s="47">
        <v>7.7</v>
      </c>
      <c r="U19" s="47">
        <v>18.100000000000001</v>
      </c>
      <c r="V19" s="47">
        <v>26.6</v>
      </c>
      <c r="W19" s="47">
        <v>62.9</v>
      </c>
      <c r="X19" s="47">
        <v>41.8</v>
      </c>
      <c r="Y19" s="48">
        <v>33248</v>
      </c>
      <c r="Z19" s="49">
        <v>0.38800000000000001</v>
      </c>
      <c r="AA19" s="48">
        <v>10762</v>
      </c>
      <c r="AB19" s="47">
        <v>31.4</v>
      </c>
      <c r="AC19" s="47">
        <v>3</v>
      </c>
      <c r="AD19" s="47">
        <v>14.7</v>
      </c>
      <c r="AE19" s="47">
        <v>47.6</v>
      </c>
      <c r="AF19" s="47">
        <v>3.4</v>
      </c>
      <c r="AG19" s="47">
        <v>61.4</v>
      </c>
      <c r="AH19" s="47">
        <v>18.8</v>
      </c>
      <c r="AI19" s="47">
        <v>81.3</v>
      </c>
      <c r="AJ19" s="47">
        <v>1.1000000000000001</v>
      </c>
      <c r="AK19" s="47">
        <v>93</v>
      </c>
      <c r="AM19" s="47">
        <f t="shared" si="1"/>
        <v>10</v>
      </c>
      <c r="AN19" s="47">
        <f t="shared" si="2"/>
        <v>27</v>
      </c>
      <c r="AO19" s="47">
        <f t="shared" si="3"/>
        <v>4</v>
      </c>
      <c r="AP19" s="47">
        <f t="shared" si="4"/>
        <v>31</v>
      </c>
      <c r="AQ19" s="47">
        <f t="shared" si="5"/>
        <v>25</v>
      </c>
      <c r="AR19" s="47">
        <f t="shared" si="6"/>
        <v>23</v>
      </c>
      <c r="AS19" s="47">
        <f t="shared" si="7"/>
        <v>26</v>
      </c>
      <c r="AT19" s="47">
        <f t="shared" si="8"/>
        <v>2</v>
      </c>
      <c r="AU19" s="47">
        <f t="shared" si="9"/>
        <v>8</v>
      </c>
      <c r="AV19" s="47">
        <f t="shared" si="10"/>
        <v>9</v>
      </c>
      <c r="AW19" s="47">
        <f t="shared" si="11"/>
        <v>18</v>
      </c>
      <c r="AX19" s="47">
        <f t="shared" si="12"/>
        <v>13</v>
      </c>
      <c r="AY19" s="47">
        <f t="shared" si="13"/>
        <v>24</v>
      </c>
      <c r="AZ19" s="47">
        <f t="shared" si="14"/>
        <v>14</v>
      </c>
      <c r="BA19" s="47">
        <f t="shared" si="15"/>
        <v>32</v>
      </c>
      <c r="BB19" s="47">
        <f t="shared" si="16"/>
        <v>15</v>
      </c>
      <c r="BC19" s="47">
        <f t="shared" si="17"/>
        <v>7</v>
      </c>
      <c r="BD19" s="47">
        <f t="shared" si="18"/>
        <v>20</v>
      </c>
      <c r="BE19" s="47">
        <f t="shared" si="19"/>
        <v>30</v>
      </c>
      <c r="BF19" s="47">
        <f t="shared" si="20"/>
        <v>12</v>
      </c>
      <c r="BG19" s="47">
        <f t="shared" si="21"/>
        <v>10</v>
      </c>
      <c r="BH19" s="47">
        <f t="shared" si="22"/>
        <v>11</v>
      </c>
      <c r="BI19" s="47">
        <f t="shared" si="23"/>
        <v>6</v>
      </c>
      <c r="BJ19" s="47">
        <f t="shared" si="24"/>
        <v>31</v>
      </c>
      <c r="BK19" s="47">
        <f t="shared" si="25"/>
        <v>12</v>
      </c>
      <c r="BL19" s="47">
        <f t="shared" si="26"/>
        <v>21</v>
      </c>
      <c r="BM19" s="47">
        <f t="shared" si="27"/>
        <v>23</v>
      </c>
      <c r="BN19" s="47">
        <f t="shared" si="28"/>
        <v>29</v>
      </c>
      <c r="BO19" s="47">
        <f t="shared" si="29"/>
        <v>23</v>
      </c>
      <c r="BP19" s="47">
        <f t="shared" si="30"/>
        <v>17</v>
      </c>
      <c r="BQ19" s="47">
        <f t="shared" si="31"/>
        <v>8</v>
      </c>
      <c r="BR19" s="47">
        <f t="shared" si="32"/>
        <v>20</v>
      </c>
      <c r="BS19" s="47">
        <f t="shared" si="33"/>
        <v>17</v>
      </c>
      <c r="BT19" s="47">
        <f t="shared" si="34"/>
        <v>5</v>
      </c>
      <c r="BU19" s="47">
        <f t="shared" si="35"/>
        <v>6</v>
      </c>
    </row>
    <row r="20" spans="1:73" x14ac:dyDescent="0.2">
      <c r="A20">
        <v>15</v>
      </c>
      <c r="B20" s="46" t="s">
        <v>14</v>
      </c>
      <c r="C20" s="47">
        <v>69.8</v>
      </c>
      <c r="D20" s="47">
        <v>65.8</v>
      </c>
      <c r="E20" s="47">
        <v>93.1</v>
      </c>
      <c r="F20" s="47">
        <v>1.9</v>
      </c>
      <c r="G20" s="47">
        <v>54.3</v>
      </c>
      <c r="H20" s="47">
        <v>26.7</v>
      </c>
      <c r="I20" s="47">
        <v>55.5</v>
      </c>
      <c r="J20" s="47">
        <v>64.599999999999994</v>
      </c>
      <c r="K20" s="47">
        <v>75.7</v>
      </c>
      <c r="L20" s="47">
        <v>8.3000000000000007</v>
      </c>
      <c r="M20" s="47">
        <v>32.700000000000003</v>
      </c>
      <c r="N20" s="47">
        <v>13.6</v>
      </c>
      <c r="O20" s="47">
        <v>57.4</v>
      </c>
      <c r="P20" s="47">
        <v>48.5</v>
      </c>
      <c r="Q20" s="47">
        <v>11.1</v>
      </c>
      <c r="R20" s="47">
        <v>10.1</v>
      </c>
      <c r="S20" s="47">
        <v>8.5</v>
      </c>
      <c r="T20" s="47">
        <v>7.7</v>
      </c>
      <c r="U20" s="47">
        <v>29.5</v>
      </c>
      <c r="V20" s="47">
        <v>17.7</v>
      </c>
      <c r="W20" s="47">
        <v>46.3</v>
      </c>
      <c r="X20" s="47">
        <v>56.9</v>
      </c>
      <c r="Y20" s="48">
        <v>39539</v>
      </c>
      <c r="Z20" s="49">
        <v>0.45400000000000001</v>
      </c>
      <c r="AA20" s="48">
        <v>9262</v>
      </c>
      <c r="AB20" s="47">
        <v>48.9</v>
      </c>
      <c r="AC20" s="47">
        <v>8.1999999999999993</v>
      </c>
      <c r="AD20" s="47">
        <v>28.3</v>
      </c>
      <c r="AE20" s="47">
        <v>56.7</v>
      </c>
      <c r="AF20" s="47">
        <v>5.8</v>
      </c>
      <c r="AG20" s="47">
        <v>57.5</v>
      </c>
      <c r="AH20" s="47">
        <v>22.5</v>
      </c>
      <c r="AI20" s="47">
        <v>68.3</v>
      </c>
      <c r="AJ20" s="47">
        <v>1.1000000000000001</v>
      </c>
      <c r="AK20" s="47">
        <v>89.7</v>
      </c>
      <c r="AM20" s="47">
        <f t="shared" si="1"/>
        <v>7</v>
      </c>
      <c r="AN20" s="47">
        <f t="shared" si="2"/>
        <v>29</v>
      </c>
      <c r="AO20" s="47">
        <f t="shared" si="3"/>
        <v>17</v>
      </c>
      <c r="AP20" s="47">
        <f t="shared" si="4"/>
        <v>30</v>
      </c>
      <c r="AQ20" s="47">
        <f t="shared" si="5"/>
        <v>12</v>
      </c>
      <c r="AR20" s="47">
        <f t="shared" si="6"/>
        <v>25</v>
      </c>
      <c r="AS20" s="47">
        <f t="shared" si="7"/>
        <v>30</v>
      </c>
      <c r="AT20" s="47">
        <f t="shared" si="8"/>
        <v>32</v>
      </c>
      <c r="AU20" s="47">
        <f t="shared" si="9"/>
        <v>10</v>
      </c>
      <c r="AV20" s="47">
        <f t="shared" si="10"/>
        <v>16</v>
      </c>
      <c r="AW20" s="47">
        <f t="shared" si="11"/>
        <v>23</v>
      </c>
      <c r="AX20" s="47">
        <f t="shared" si="12"/>
        <v>7</v>
      </c>
      <c r="AY20" s="47">
        <f t="shared" si="13"/>
        <v>21</v>
      </c>
      <c r="AZ20" s="47">
        <f t="shared" si="14"/>
        <v>10</v>
      </c>
      <c r="BA20" s="47">
        <f t="shared" si="15"/>
        <v>14</v>
      </c>
      <c r="BB20" s="47">
        <f t="shared" si="16"/>
        <v>11</v>
      </c>
      <c r="BC20" s="47">
        <f t="shared" si="17"/>
        <v>12</v>
      </c>
      <c r="BD20" s="47">
        <f t="shared" si="18"/>
        <v>20</v>
      </c>
      <c r="BE20" s="47">
        <f t="shared" si="19"/>
        <v>9</v>
      </c>
      <c r="BF20" s="47">
        <f t="shared" si="20"/>
        <v>17</v>
      </c>
      <c r="BG20" s="47">
        <f t="shared" si="21"/>
        <v>30</v>
      </c>
      <c r="BH20" s="47">
        <f t="shared" si="22"/>
        <v>2</v>
      </c>
      <c r="BI20" s="47">
        <f t="shared" si="23"/>
        <v>2</v>
      </c>
      <c r="BJ20" s="47">
        <f t="shared" si="24"/>
        <v>7</v>
      </c>
      <c r="BK20" s="47">
        <f t="shared" si="25"/>
        <v>17</v>
      </c>
      <c r="BL20" s="47">
        <f t="shared" si="26"/>
        <v>12</v>
      </c>
      <c r="BM20" s="47">
        <f t="shared" si="27"/>
        <v>13</v>
      </c>
      <c r="BN20" s="47">
        <f t="shared" si="28"/>
        <v>9</v>
      </c>
      <c r="BO20" s="47">
        <f t="shared" si="29"/>
        <v>15</v>
      </c>
      <c r="BP20" s="47">
        <f t="shared" si="30"/>
        <v>3</v>
      </c>
      <c r="BQ20" s="47">
        <f t="shared" si="31"/>
        <v>25</v>
      </c>
      <c r="BR20" s="47">
        <f t="shared" si="32"/>
        <v>3</v>
      </c>
      <c r="BS20" s="47">
        <f t="shared" si="33"/>
        <v>21</v>
      </c>
      <c r="BT20" s="47">
        <f t="shared" si="34"/>
        <v>5</v>
      </c>
      <c r="BU20" s="47">
        <f t="shared" si="35"/>
        <v>10</v>
      </c>
    </row>
    <row r="21" spans="1:73" x14ac:dyDescent="0.2">
      <c r="A21">
        <v>16</v>
      </c>
      <c r="B21" s="46" t="s">
        <v>170</v>
      </c>
      <c r="C21" s="47">
        <v>48.3</v>
      </c>
      <c r="D21" s="47">
        <v>61.3</v>
      </c>
      <c r="E21" s="47">
        <v>90.4</v>
      </c>
      <c r="F21" s="47">
        <v>4.7</v>
      </c>
      <c r="G21" s="47">
        <v>49.7</v>
      </c>
      <c r="H21" s="47">
        <v>26.8</v>
      </c>
      <c r="I21" s="47">
        <v>59.6</v>
      </c>
      <c r="J21" s="47">
        <v>73.2</v>
      </c>
      <c r="K21" s="47">
        <v>75.099999999999994</v>
      </c>
      <c r="L21" s="47">
        <v>8.1999999999999993</v>
      </c>
      <c r="M21" s="47">
        <v>31.6</v>
      </c>
      <c r="N21" s="47">
        <v>6.3</v>
      </c>
      <c r="O21" s="47">
        <v>50.3</v>
      </c>
      <c r="P21" s="47">
        <v>35.6</v>
      </c>
      <c r="Q21" s="47">
        <v>12.5</v>
      </c>
      <c r="R21" s="47">
        <v>8.6</v>
      </c>
      <c r="S21" s="47">
        <v>8.4</v>
      </c>
      <c r="T21" s="47">
        <v>7.6</v>
      </c>
      <c r="U21" s="47">
        <v>17.2</v>
      </c>
      <c r="V21" s="47">
        <v>49.7</v>
      </c>
      <c r="W21" s="47">
        <v>47.4</v>
      </c>
      <c r="X21" s="47">
        <v>36.6</v>
      </c>
      <c r="Y21" s="48">
        <v>21521</v>
      </c>
      <c r="Z21" s="49">
        <v>0.40500000000000003</v>
      </c>
      <c r="AA21" s="48">
        <v>8891</v>
      </c>
      <c r="AB21" s="47">
        <v>44.5</v>
      </c>
      <c r="AC21" s="47">
        <v>7.6</v>
      </c>
      <c r="AD21" s="47">
        <v>20</v>
      </c>
      <c r="AE21" s="47">
        <v>65.7</v>
      </c>
      <c r="AF21" s="47">
        <v>2.2999999999999998</v>
      </c>
      <c r="AG21" s="47">
        <v>58</v>
      </c>
      <c r="AH21" s="47">
        <v>19.2</v>
      </c>
      <c r="AI21" s="47">
        <v>50</v>
      </c>
      <c r="AJ21" s="47">
        <v>1</v>
      </c>
      <c r="AK21" s="47">
        <v>75.2</v>
      </c>
      <c r="AM21" s="47">
        <f t="shared" si="1"/>
        <v>25</v>
      </c>
      <c r="AN21" s="47">
        <f t="shared" si="2"/>
        <v>32</v>
      </c>
      <c r="AO21" s="47">
        <f t="shared" si="3"/>
        <v>24</v>
      </c>
      <c r="AP21" s="47">
        <f t="shared" si="4"/>
        <v>13</v>
      </c>
      <c r="AQ21" s="47">
        <f t="shared" si="5"/>
        <v>23</v>
      </c>
      <c r="AR21" s="47">
        <f t="shared" si="6"/>
        <v>24</v>
      </c>
      <c r="AS21" s="47">
        <f t="shared" si="7"/>
        <v>24</v>
      </c>
      <c r="AT21" s="47">
        <f t="shared" si="8"/>
        <v>18</v>
      </c>
      <c r="AU21" s="47">
        <f t="shared" si="9"/>
        <v>25</v>
      </c>
      <c r="AV21" s="47">
        <f t="shared" si="10"/>
        <v>23</v>
      </c>
      <c r="AW21" s="47">
        <f t="shared" si="11"/>
        <v>27</v>
      </c>
      <c r="AX21" s="47">
        <f t="shared" si="12"/>
        <v>30</v>
      </c>
      <c r="AY21" s="47">
        <f t="shared" si="13"/>
        <v>25</v>
      </c>
      <c r="AZ21" s="47">
        <f t="shared" si="14"/>
        <v>30</v>
      </c>
      <c r="BA21" s="47">
        <f t="shared" si="15"/>
        <v>5</v>
      </c>
      <c r="BB21" s="47">
        <f t="shared" si="16"/>
        <v>29</v>
      </c>
      <c r="BC21" s="47">
        <f t="shared" si="17"/>
        <v>20</v>
      </c>
      <c r="BD21" s="47">
        <f t="shared" si="18"/>
        <v>27</v>
      </c>
      <c r="BE21" s="47">
        <f t="shared" si="19"/>
        <v>31</v>
      </c>
      <c r="BF21" s="47">
        <f t="shared" si="20"/>
        <v>7</v>
      </c>
      <c r="BG21" s="47">
        <f t="shared" si="21"/>
        <v>29</v>
      </c>
      <c r="BH21" s="47">
        <f t="shared" si="22"/>
        <v>18</v>
      </c>
      <c r="BI21" s="47">
        <f t="shared" si="23"/>
        <v>27</v>
      </c>
      <c r="BJ21" s="47">
        <f t="shared" si="24"/>
        <v>24</v>
      </c>
      <c r="BK21" s="47">
        <f t="shared" si="25"/>
        <v>19</v>
      </c>
      <c r="BL21" s="47">
        <f t="shared" si="26"/>
        <v>15</v>
      </c>
      <c r="BM21" s="47">
        <f t="shared" si="27"/>
        <v>15</v>
      </c>
      <c r="BN21" s="47">
        <f t="shared" si="28"/>
        <v>21</v>
      </c>
      <c r="BO21" s="47">
        <f t="shared" si="29"/>
        <v>9</v>
      </c>
      <c r="BP21" s="47">
        <f t="shared" si="30"/>
        <v>30</v>
      </c>
      <c r="BQ21" s="47">
        <f t="shared" si="31"/>
        <v>23</v>
      </c>
      <c r="BR21" s="47">
        <f t="shared" si="32"/>
        <v>16</v>
      </c>
      <c r="BS21" s="47">
        <f t="shared" si="33"/>
        <v>25</v>
      </c>
      <c r="BT21" s="47">
        <f t="shared" si="34"/>
        <v>17</v>
      </c>
      <c r="BU21" s="47">
        <f t="shared" si="35"/>
        <v>24</v>
      </c>
    </row>
    <row r="22" spans="1:73" x14ac:dyDescent="0.2">
      <c r="A22">
        <v>17</v>
      </c>
      <c r="B22" s="46" t="s">
        <v>16</v>
      </c>
      <c r="C22" s="47">
        <v>65.2</v>
      </c>
      <c r="D22" s="47">
        <v>68.2</v>
      </c>
      <c r="E22" s="47">
        <v>90.1</v>
      </c>
      <c r="F22" s="47">
        <v>2.2000000000000002</v>
      </c>
      <c r="G22" s="47">
        <v>53.2</v>
      </c>
      <c r="H22" s="47">
        <v>21.3</v>
      </c>
      <c r="I22" s="47">
        <v>56.8</v>
      </c>
      <c r="J22" s="47">
        <v>73.7</v>
      </c>
      <c r="K22" s="47">
        <v>75.5</v>
      </c>
      <c r="L22" s="47">
        <v>8.1999999999999993</v>
      </c>
      <c r="M22" s="47">
        <v>33.5</v>
      </c>
      <c r="N22" s="47">
        <v>9.6</v>
      </c>
      <c r="O22" s="47">
        <v>60.5</v>
      </c>
      <c r="P22" s="47">
        <v>46</v>
      </c>
      <c r="Q22" s="47">
        <v>14.7</v>
      </c>
      <c r="R22" s="47">
        <v>9.8000000000000007</v>
      </c>
      <c r="S22" s="47">
        <v>8.4</v>
      </c>
      <c r="T22" s="47">
        <v>7.8</v>
      </c>
      <c r="U22" s="47">
        <v>25.6</v>
      </c>
      <c r="V22" s="47">
        <v>48.3</v>
      </c>
      <c r="W22" s="47">
        <v>49.7</v>
      </c>
      <c r="X22" s="47">
        <v>50.2</v>
      </c>
      <c r="Y22" s="48">
        <v>35794</v>
      </c>
      <c r="Z22" s="49">
        <v>0.41599999999999998</v>
      </c>
      <c r="AA22" s="48">
        <v>8358</v>
      </c>
      <c r="AB22" s="47">
        <v>50.9</v>
      </c>
      <c r="AC22" s="47">
        <v>8.4</v>
      </c>
      <c r="AD22" s="47">
        <v>19.899999999999999</v>
      </c>
      <c r="AE22" s="47">
        <v>66.8</v>
      </c>
      <c r="AF22" s="47">
        <v>2.4</v>
      </c>
      <c r="AG22" s="47">
        <v>54.1</v>
      </c>
      <c r="AH22" s="47">
        <v>19.2</v>
      </c>
      <c r="AI22" s="47">
        <v>82.3</v>
      </c>
      <c r="AJ22" s="47">
        <v>1</v>
      </c>
      <c r="AK22" s="47">
        <v>83.1</v>
      </c>
      <c r="AM22" s="47">
        <f t="shared" si="1"/>
        <v>13</v>
      </c>
      <c r="AN22" s="47">
        <f t="shared" si="2"/>
        <v>25</v>
      </c>
      <c r="AO22" s="47">
        <f t="shared" si="3"/>
        <v>25</v>
      </c>
      <c r="AP22" s="47">
        <f t="shared" si="4"/>
        <v>28</v>
      </c>
      <c r="AQ22" s="47">
        <f t="shared" si="5"/>
        <v>16</v>
      </c>
      <c r="AR22" s="47">
        <f t="shared" si="6"/>
        <v>32</v>
      </c>
      <c r="AS22" s="47">
        <f t="shared" si="7"/>
        <v>28</v>
      </c>
      <c r="AT22" s="47">
        <f t="shared" si="8"/>
        <v>16</v>
      </c>
      <c r="AU22" s="47">
        <f t="shared" si="9"/>
        <v>15</v>
      </c>
      <c r="AV22" s="47">
        <f t="shared" si="10"/>
        <v>23</v>
      </c>
      <c r="AW22" s="47">
        <f t="shared" si="11"/>
        <v>20</v>
      </c>
      <c r="AX22" s="47">
        <f t="shared" si="12"/>
        <v>22</v>
      </c>
      <c r="AY22" s="47">
        <f t="shared" si="13"/>
        <v>19</v>
      </c>
      <c r="AZ22" s="47">
        <f t="shared" si="14"/>
        <v>15</v>
      </c>
      <c r="BA22" s="47">
        <f t="shared" si="15"/>
        <v>1</v>
      </c>
      <c r="BB22" s="47">
        <f t="shared" si="16"/>
        <v>16</v>
      </c>
      <c r="BC22" s="47">
        <f t="shared" si="17"/>
        <v>20</v>
      </c>
      <c r="BD22" s="47">
        <f t="shared" si="18"/>
        <v>13</v>
      </c>
      <c r="BE22" s="47">
        <f t="shared" si="19"/>
        <v>19</v>
      </c>
      <c r="BF22" s="47">
        <f t="shared" si="20"/>
        <v>8</v>
      </c>
      <c r="BG22" s="47">
        <f t="shared" si="21"/>
        <v>28</v>
      </c>
      <c r="BH22" s="47">
        <f t="shared" si="22"/>
        <v>5</v>
      </c>
      <c r="BI22" s="47">
        <f t="shared" si="23"/>
        <v>3</v>
      </c>
      <c r="BJ22" s="47">
        <f t="shared" si="24"/>
        <v>22</v>
      </c>
      <c r="BK22" s="47">
        <f t="shared" si="25"/>
        <v>23</v>
      </c>
      <c r="BL22" s="47">
        <f t="shared" si="26"/>
        <v>8</v>
      </c>
      <c r="BM22" s="47">
        <f t="shared" si="27"/>
        <v>12</v>
      </c>
      <c r="BN22" s="47">
        <f t="shared" si="28"/>
        <v>22</v>
      </c>
      <c r="BO22" s="47">
        <f t="shared" si="29"/>
        <v>8</v>
      </c>
      <c r="BP22" s="47">
        <f t="shared" si="30"/>
        <v>29</v>
      </c>
      <c r="BQ22" s="47">
        <f t="shared" si="31"/>
        <v>31</v>
      </c>
      <c r="BR22" s="47">
        <f t="shared" si="32"/>
        <v>16</v>
      </c>
      <c r="BS22" s="47">
        <f t="shared" si="33"/>
        <v>14</v>
      </c>
      <c r="BT22" s="47">
        <f t="shared" si="34"/>
        <v>17</v>
      </c>
      <c r="BU22" s="47">
        <f t="shared" si="35"/>
        <v>16</v>
      </c>
    </row>
    <row r="23" spans="1:73" x14ac:dyDescent="0.2">
      <c r="A23">
        <v>18</v>
      </c>
      <c r="B23" s="46" t="s">
        <v>17</v>
      </c>
      <c r="C23" s="47">
        <v>53.1</v>
      </c>
      <c r="D23" s="47">
        <v>75.3</v>
      </c>
      <c r="E23" s="47">
        <v>94.1</v>
      </c>
      <c r="F23" s="47">
        <v>4.9000000000000004</v>
      </c>
      <c r="G23" s="47">
        <v>53.5</v>
      </c>
      <c r="H23" s="47">
        <v>30.8</v>
      </c>
      <c r="I23" s="47">
        <v>67.2</v>
      </c>
      <c r="J23" s="47">
        <v>74.599999999999994</v>
      </c>
      <c r="K23" s="47">
        <v>75.599999999999994</v>
      </c>
      <c r="L23" s="47">
        <v>8.4</v>
      </c>
      <c r="M23" s="47">
        <v>37</v>
      </c>
      <c r="N23" s="47">
        <v>7</v>
      </c>
      <c r="O23" s="47">
        <v>78.2</v>
      </c>
      <c r="P23" s="47">
        <v>45.9</v>
      </c>
      <c r="Q23" s="47">
        <v>7.3</v>
      </c>
      <c r="R23" s="47">
        <v>9.6999999999999993</v>
      </c>
      <c r="S23" s="47">
        <v>8.6</v>
      </c>
      <c r="T23" s="47">
        <v>8</v>
      </c>
      <c r="U23" s="47">
        <v>21.5</v>
      </c>
      <c r="V23" s="47">
        <v>14.4</v>
      </c>
      <c r="W23" s="47">
        <v>65.400000000000006</v>
      </c>
      <c r="X23" s="47">
        <v>25.1</v>
      </c>
      <c r="Y23" s="48">
        <v>22099</v>
      </c>
      <c r="Z23" s="49">
        <v>0.40799999999999997</v>
      </c>
      <c r="AA23" s="48">
        <v>10505</v>
      </c>
      <c r="AB23" s="47">
        <v>30.4</v>
      </c>
      <c r="AC23" s="47">
        <v>3.8</v>
      </c>
      <c r="AD23" s="47">
        <v>19.7</v>
      </c>
      <c r="AE23" s="47">
        <v>57.9</v>
      </c>
      <c r="AF23" s="47">
        <v>2.9</v>
      </c>
      <c r="AG23" s="47">
        <v>66.599999999999994</v>
      </c>
      <c r="AH23" s="47">
        <v>16.3</v>
      </c>
      <c r="AI23" s="47">
        <v>72.8</v>
      </c>
      <c r="AJ23" s="47">
        <v>1.1000000000000001</v>
      </c>
      <c r="AK23" s="47">
        <v>81.599999999999994</v>
      </c>
      <c r="AM23" s="47">
        <f t="shared" si="1"/>
        <v>20</v>
      </c>
      <c r="AN23" s="47">
        <f t="shared" si="2"/>
        <v>16</v>
      </c>
      <c r="AO23" s="47">
        <f t="shared" si="3"/>
        <v>12</v>
      </c>
      <c r="AP23" s="47">
        <f t="shared" si="4"/>
        <v>11</v>
      </c>
      <c r="AQ23" s="47">
        <f t="shared" si="5"/>
        <v>13</v>
      </c>
      <c r="AR23" s="47">
        <f t="shared" si="6"/>
        <v>17</v>
      </c>
      <c r="AS23" s="47">
        <f t="shared" si="7"/>
        <v>8</v>
      </c>
      <c r="AT23" s="47">
        <f t="shared" si="8"/>
        <v>11</v>
      </c>
      <c r="AU23" s="47">
        <f t="shared" si="9"/>
        <v>14</v>
      </c>
      <c r="AV23" s="47">
        <f t="shared" si="10"/>
        <v>9</v>
      </c>
      <c r="AW23" s="47">
        <f t="shared" si="11"/>
        <v>16</v>
      </c>
      <c r="AX23" s="47">
        <f t="shared" si="12"/>
        <v>29</v>
      </c>
      <c r="AY23" s="47">
        <f t="shared" si="13"/>
        <v>6</v>
      </c>
      <c r="AZ23" s="47">
        <f t="shared" si="14"/>
        <v>16</v>
      </c>
      <c r="BA23" s="47">
        <f t="shared" si="15"/>
        <v>29</v>
      </c>
      <c r="BB23" s="47">
        <f t="shared" si="16"/>
        <v>18</v>
      </c>
      <c r="BC23" s="47">
        <f t="shared" si="17"/>
        <v>7</v>
      </c>
      <c r="BD23" s="47">
        <f t="shared" si="18"/>
        <v>2</v>
      </c>
      <c r="BE23" s="47">
        <f t="shared" si="19"/>
        <v>27</v>
      </c>
      <c r="BF23" s="47">
        <f t="shared" si="20"/>
        <v>21</v>
      </c>
      <c r="BG23" s="47">
        <f t="shared" si="21"/>
        <v>4</v>
      </c>
      <c r="BH23" s="47">
        <f t="shared" si="22"/>
        <v>29</v>
      </c>
      <c r="BI23" s="47">
        <f t="shared" si="23"/>
        <v>24</v>
      </c>
      <c r="BJ23" s="47">
        <f t="shared" si="24"/>
        <v>23</v>
      </c>
      <c r="BK23" s="47">
        <f t="shared" si="25"/>
        <v>13</v>
      </c>
      <c r="BL23" s="47">
        <f t="shared" si="26"/>
        <v>23</v>
      </c>
      <c r="BM23" s="47">
        <f t="shared" si="27"/>
        <v>20</v>
      </c>
      <c r="BN23" s="47">
        <f t="shared" si="28"/>
        <v>23</v>
      </c>
      <c r="BO23" s="47">
        <f t="shared" si="29"/>
        <v>14</v>
      </c>
      <c r="BP23" s="47">
        <f t="shared" si="30"/>
        <v>25</v>
      </c>
      <c r="BQ23" s="47">
        <f t="shared" si="31"/>
        <v>1</v>
      </c>
      <c r="BR23" s="47">
        <f t="shared" si="32"/>
        <v>30</v>
      </c>
      <c r="BS23" s="47">
        <f t="shared" si="33"/>
        <v>19</v>
      </c>
      <c r="BT23" s="47">
        <f t="shared" si="34"/>
        <v>5</v>
      </c>
      <c r="BU23" s="47">
        <f t="shared" si="35"/>
        <v>18</v>
      </c>
    </row>
    <row r="24" spans="1:73" x14ac:dyDescent="0.2">
      <c r="A24">
        <v>19</v>
      </c>
      <c r="B24" s="46" t="s">
        <v>18</v>
      </c>
      <c r="C24" s="47">
        <v>78.7</v>
      </c>
      <c r="D24" s="47">
        <v>78.5</v>
      </c>
      <c r="E24" s="47">
        <v>98</v>
      </c>
      <c r="F24" s="47">
        <v>3.4</v>
      </c>
      <c r="G24" s="47">
        <v>51.2</v>
      </c>
      <c r="H24" s="47">
        <v>42.4</v>
      </c>
      <c r="I24" s="47">
        <v>68.599999999999994</v>
      </c>
      <c r="J24" s="47">
        <v>78.2</v>
      </c>
      <c r="K24" s="47">
        <v>76.2</v>
      </c>
      <c r="L24" s="47">
        <v>8.6</v>
      </c>
      <c r="M24" s="47">
        <v>41.4</v>
      </c>
      <c r="N24" s="47">
        <v>13.5</v>
      </c>
      <c r="O24" s="47">
        <v>60.5</v>
      </c>
      <c r="P24" s="47">
        <v>51.7</v>
      </c>
      <c r="Q24" s="47">
        <v>11.7</v>
      </c>
      <c r="R24" s="47">
        <v>10.7</v>
      </c>
      <c r="S24" s="47">
        <v>8.8000000000000007</v>
      </c>
      <c r="T24" s="47">
        <v>8</v>
      </c>
      <c r="U24" s="47">
        <v>25</v>
      </c>
      <c r="V24" s="47">
        <v>16.399999999999999</v>
      </c>
      <c r="W24" s="47">
        <v>71.5</v>
      </c>
      <c r="X24" s="47">
        <v>34.4</v>
      </c>
      <c r="Y24" s="48">
        <v>29064</v>
      </c>
      <c r="Z24" s="49">
        <v>0.45500000000000002</v>
      </c>
      <c r="AA24" s="48">
        <v>13733</v>
      </c>
      <c r="AB24" s="47">
        <v>24.3</v>
      </c>
      <c r="AC24" s="47">
        <v>2.1</v>
      </c>
      <c r="AD24" s="47">
        <v>13.8</v>
      </c>
      <c r="AE24" s="47">
        <v>36.6</v>
      </c>
      <c r="AF24" s="47">
        <v>4.5</v>
      </c>
      <c r="AG24" s="47">
        <v>60.7</v>
      </c>
      <c r="AH24" s="47">
        <v>20.8</v>
      </c>
      <c r="AI24" s="47">
        <v>97.4</v>
      </c>
      <c r="AJ24" s="47">
        <v>1.2</v>
      </c>
      <c r="AK24" s="47">
        <v>95.1</v>
      </c>
      <c r="AM24" s="47">
        <f t="shared" si="1"/>
        <v>3</v>
      </c>
      <c r="AN24" s="47">
        <f t="shared" si="2"/>
        <v>11</v>
      </c>
      <c r="AO24" s="47">
        <f t="shared" si="3"/>
        <v>3</v>
      </c>
      <c r="AP24" s="47">
        <f t="shared" si="4"/>
        <v>21</v>
      </c>
      <c r="AQ24" s="47">
        <f t="shared" si="5"/>
        <v>20</v>
      </c>
      <c r="AR24" s="47">
        <f t="shared" si="6"/>
        <v>1</v>
      </c>
      <c r="AS24" s="47">
        <f t="shared" si="7"/>
        <v>6</v>
      </c>
      <c r="AT24" s="47">
        <f t="shared" si="8"/>
        <v>4</v>
      </c>
      <c r="AU24" s="47">
        <f t="shared" si="9"/>
        <v>2</v>
      </c>
      <c r="AV24" s="47">
        <f t="shared" si="10"/>
        <v>2</v>
      </c>
      <c r="AW24" s="47">
        <f t="shared" si="11"/>
        <v>9</v>
      </c>
      <c r="AX24" s="47">
        <f t="shared" si="12"/>
        <v>8</v>
      </c>
      <c r="AY24" s="47">
        <f t="shared" si="13"/>
        <v>19</v>
      </c>
      <c r="AZ24" s="47">
        <f t="shared" si="14"/>
        <v>4</v>
      </c>
      <c r="BA24" s="47">
        <f t="shared" si="15"/>
        <v>9</v>
      </c>
      <c r="BB24" s="47">
        <f t="shared" si="16"/>
        <v>2</v>
      </c>
      <c r="BC24" s="47">
        <f t="shared" si="17"/>
        <v>1</v>
      </c>
      <c r="BD24" s="47">
        <f t="shared" si="18"/>
        <v>2</v>
      </c>
      <c r="BE24" s="47">
        <f t="shared" si="19"/>
        <v>21</v>
      </c>
      <c r="BF24" s="47">
        <f t="shared" si="20"/>
        <v>18</v>
      </c>
      <c r="BG24" s="47">
        <f t="shared" si="21"/>
        <v>1</v>
      </c>
      <c r="BH24" s="47">
        <f t="shared" si="22"/>
        <v>21</v>
      </c>
      <c r="BI24" s="47">
        <f t="shared" si="23"/>
        <v>14</v>
      </c>
      <c r="BJ24" s="47">
        <f t="shared" si="24"/>
        <v>6</v>
      </c>
      <c r="BK24" s="47">
        <f t="shared" si="25"/>
        <v>2</v>
      </c>
      <c r="BL24" s="47">
        <f t="shared" si="26"/>
        <v>31</v>
      </c>
      <c r="BM24" s="47">
        <f t="shared" si="27"/>
        <v>30</v>
      </c>
      <c r="BN24" s="47">
        <f t="shared" si="28"/>
        <v>31</v>
      </c>
      <c r="BO24" s="47">
        <f t="shared" si="29"/>
        <v>30</v>
      </c>
      <c r="BP24" s="47">
        <f t="shared" si="30"/>
        <v>9</v>
      </c>
      <c r="BQ24" s="47">
        <f t="shared" si="31"/>
        <v>10</v>
      </c>
      <c r="BR24" s="47">
        <f t="shared" si="32"/>
        <v>6</v>
      </c>
      <c r="BS24" s="47">
        <f t="shared" si="33"/>
        <v>4</v>
      </c>
      <c r="BT24" s="47">
        <f t="shared" si="34"/>
        <v>1</v>
      </c>
      <c r="BU24" s="47">
        <f t="shared" si="35"/>
        <v>2</v>
      </c>
    </row>
    <row r="25" spans="1:73" x14ac:dyDescent="0.2">
      <c r="A25">
        <v>20</v>
      </c>
      <c r="B25" s="46" t="s">
        <v>19</v>
      </c>
      <c r="C25" s="47">
        <v>39.9</v>
      </c>
      <c r="D25" s="47">
        <v>63.1</v>
      </c>
      <c r="E25" s="47">
        <v>72.8</v>
      </c>
      <c r="F25" s="47">
        <v>6.6</v>
      </c>
      <c r="G25" s="47">
        <v>56.6</v>
      </c>
      <c r="H25" s="47">
        <v>25</v>
      </c>
      <c r="I25" s="47">
        <v>62.8</v>
      </c>
      <c r="J25" s="47">
        <v>68.2</v>
      </c>
      <c r="K25" s="47">
        <v>74.5</v>
      </c>
      <c r="L25" s="47">
        <v>8</v>
      </c>
      <c r="M25" s="47">
        <v>30.5</v>
      </c>
      <c r="N25" s="47">
        <v>7.4</v>
      </c>
      <c r="O25" s="47">
        <v>62.4</v>
      </c>
      <c r="P25" s="47">
        <v>32.6</v>
      </c>
      <c r="Q25" s="47">
        <v>12.5</v>
      </c>
      <c r="R25" s="47">
        <v>8.1</v>
      </c>
      <c r="S25" s="47">
        <v>8.1999999999999993</v>
      </c>
      <c r="T25" s="47">
        <v>7.6</v>
      </c>
      <c r="U25" s="47">
        <v>32.1</v>
      </c>
      <c r="V25" s="47">
        <v>21.1</v>
      </c>
      <c r="W25" s="47">
        <v>61.3</v>
      </c>
      <c r="X25" s="47">
        <v>27.1</v>
      </c>
      <c r="Y25" s="48">
        <v>22060</v>
      </c>
      <c r="Z25" s="49">
        <v>0.45300000000000001</v>
      </c>
      <c r="AA25" s="48">
        <v>7026</v>
      </c>
      <c r="AB25" s="47">
        <v>61.7</v>
      </c>
      <c r="AC25" s="47">
        <v>20.6</v>
      </c>
      <c r="AD25" s="47">
        <v>29.2</v>
      </c>
      <c r="AE25" s="47">
        <v>80.7</v>
      </c>
      <c r="AF25" s="47">
        <v>1.6</v>
      </c>
      <c r="AG25" s="47">
        <v>59</v>
      </c>
      <c r="AH25" s="47">
        <v>19</v>
      </c>
      <c r="AI25" s="47">
        <v>8.9</v>
      </c>
      <c r="AJ25" s="47">
        <v>0.9</v>
      </c>
      <c r="AK25" s="47">
        <v>51.3</v>
      </c>
      <c r="AM25" s="47">
        <f t="shared" si="1"/>
        <v>31</v>
      </c>
      <c r="AN25" s="47">
        <f t="shared" si="2"/>
        <v>30</v>
      </c>
      <c r="AO25" s="47">
        <f t="shared" si="3"/>
        <v>31</v>
      </c>
      <c r="AP25" s="47">
        <f t="shared" si="4"/>
        <v>5</v>
      </c>
      <c r="AQ25" s="47">
        <f t="shared" si="5"/>
        <v>10</v>
      </c>
      <c r="AR25" s="47">
        <f t="shared" si="6"/>
        <v>26</v>
      </c>
      <c r="AS25" s="47">
        <f t="shared" si="7"/>
        <v>17</v>
      </c>
      <c r="AT25" s="47">
        <f t="shared" si="8"/>
        <v>29</v>
      </c>
      <c r="AU25" s="47">
        <f t="shared" si="9"/>
        <v>31</v>
      </c>
      <c r="AV25" s="47">
        <f t="shared" si="10"/>
        <v>31</v>
      </c>
      <c r="AW25" s="47">
        <f t="shared" si="11"/>
        <v>30</v>
      </c>
      <c r="AX25" s="47">
        <f t="shared" si="12"/>
        <v>28</v>
      </c>
      <c r="AY25" s="47">
        <f t="shared" si="13"/>
        <v>16</v>
      </c>
      <c r="AZ25" s="47">
        <f t="shared" si="14"/>
        <v>31</v>
      </c>
      <c r="BA25" s="47">
        <f t="shared" si="15"/>
        <v>5</v>
      </c>
      <c r="BB25" s="47">
        <f t="shared" si="16"/>
        <v>31</v>
      </c>
      <c r="BC25" s="47">
        <f t="shared" si="17"/>
        <v>29</v>
      </c>
      <c r="BD25" s="47">
        <f t="shared" si="18"/>
        <v>27</v>
      </c>
      <c r="BE25" s="47">
        <f t="shared" si="19"/>
        <v>5</v>
      </c>
      <c r="BF25" s="47">
        <f t="shared" si="20"/>
        <v>16</v>
      </c>
      <c r="BG25" s="47">
        <f t="shared" si="21"/>
        <v>12</v>
      </c>
      <c r="BH25" s="47">
        <f t="shared" si="22"/>
        <v>28</v>
      </c>
      <c r="BI25" s="47">
        <f t="shared" si="23"/>
        <v>25</v>
      </c>
      <c r="BJ25" s="47">
        <f t="shared" si="24"/>
        <v>8</v>
      </c>
      <c r="BK25" s="47">
        <f t="shared" si="25"/>
        <v>29</v>
      </c>
      <c r="BL25" s="47">
        <f t="shared" si="26"/>
        <v>4</v>
      </c>
      <c r="BM25" s="47">
        <f t="shared" si="27"/>
        <v>3</v>
      </c>
      <c r="BN25" s="47">
        <f t="shared" si="28"/>
        <v>8</v>
      </c>
      <c r="BO25" s="47">
        <f t="shared" si="29"/>
        <v>1</v>
      </c>
      <c r="BP25" s="47">
        <f t="shared" si="30"/>
        <v>31</v>
      </c>
      <c r="BQ25" s="47">
        <f t="shared" si="31"/>
        <v>19</v>
      </c>
      <c r="BR25" s="47">
        <f t="shared" si="32"/>
        <v>19</v>
      </c>
      <c r="BS25" s="47">
        <f t="shared" si="33"/>
        <v>32</v>
      </c>
      <c r="BT25" s="47">
        <f t="shared" si="34"/>
        <v>27</v>
      </c>
      <c r="BU25" s="47">
        <f t="shared" si="35"/>
        <v>30</v>
      </c>
    </row>
    <row r="26" spans="1:73" x14ac:dyDescent="0.2">
      <c r="A26">
        <v>21</v>
      </c>
      <c r="B26" s="46" t="s">
        <v>20</v>
      </c>
      <c r="C26" s="47">
        <v>48.4</v>
      </c>
      <c r="D26" s="47">
        <v>68</v>
      </c>
      <c r="E26" s="47">
        <v>87.5</v>
      </c>
      <c r="F26" s="47">
        <v>3</v>
      </c>
      <c r="G26" s="47">
        <v>56.2</v>
      </c>
      <c r="H26" s="47">
        <v>27.2</v>
      </c>
      <c r="I26" s="47">
        <v>61.9</v>
      </c>
      <c r="J26" s="47">
        <v>68.5</v>
      </c>
      <c r="K26" s="47">
        <v>75.099999999999994</v>
      </c>
      <c r="L26" s="47">
        <v>8.1</v>
      </c>
      <c r="M26" s="47">
        <v>32.9</v>
      </c>
      <c r="N26" s="47">
        <v>13.2</v>
      </c>
      <c r="O26" s="47">
        <v>44.4</v>
      </c>
      <c r="P26" s="47">
        <v>41.3</v>
      </c>
      <c r="Q26" s="47">
        <v>10.5</v>
      </c>
      <c r="R26" s="47">
        <v>9.1999999999999993</v>
      </c>
      <c r="S26" s="47">
        <v>8.1999999999999993</v>
      </c>
      <c r="T26" s="47">
        <v>7.2</v>
      </c>
      <c r="U26" s="47">
        <v>29</v>
      </c>
      <c r="V26" s="47">
        <v>15.6</v>
      </c>
      <c r="W26" s="47">
        <v>60.9</v>
      </c>
      <c r="X26" s="47">
        <v>52.9</v>
      </c>
      <c r="Y26" s="48">
        <v>31685</v>
      </c>
      <c r="Z26" s="49">
        <v>0.439</v>
      </c>
      <c r="AA26" s="48">
        <v>7191</v>
      </c>
      <c r="AB26" s="47">
        <v>62.4</v>
      </c>
      <c r="AC26" s="47">
        <v>12.7</v>
      </c>
      <c r="AD26" s="47">
        <v>30.1</v>
      </c>
      <c r="AE26" s="47">
        <v>71.8</v>
      </c>
      <c r="AF26" s="47">
        <v>3.9</v>
      </c>
      <c r="AG26" s="47">
        <v>59.6</v>
      </c>
      <c r="AH26" s="47">
        <v>20.399999999999999</v>
      </c>
      <c r="AI26" s="47">
        <v>85</v>
      </c>
      <c r="AJ26" s="47">
        <v>1</v>
      </c>
      <c r="AK26" s="47">
        <v>79.2</v>
      </c>
      <c r="AM26" s="47">
        <f t="shared" si="1"/>
        <v>24</v>
      </c>
      <c r="AN26" s="47">
        <f t="shared" si="2"/>
        <v>26</v>
      </c>
      <c r="AO26" s="47">
        <f t="shared" si="3"/>
        <v>26</v>
      </c>
      <c r="AP26" s="47">
        <f t="shared" si="4"/>
        <v>24</v>
      </c>
      <c r="AQ26" s="47">
        <f t="shared" si="5"/>
        <v>11</v>
      </c>
      <c r="AR26" s="47">
        <f t="shared" si="6"/>
        <v>22</v>
      </c>
      <c r="AS26" s="47">
        <f t="shared" si="7"/>
        <v>21</v>
      </c>
      <c r="AT26" s="47">
        <f t="shared" si="8"/>
        <v>27</v>
      </c>
      <c r="AU26" s="47">
        <f t="shared" si="9"/>
        <v>25</v>
      </c>
      <c r="AV26" s="47">
        <f t="shared" si="10"/>
        <v>28</v>
      </c>
      <c r="AW26" s="47">
        <f t="shared" si="11"/>
        <v>22</v>
      </c>
      <c r="AX26" s="47">
        <f t="shared" si="12"/>
        <v>9</v>
      </c>
      <c r="AY26" s="47">
        <f t="shared" si="13"/>
        <v>26</v>
      </c>
      <c r="AZ26" s="47">
        <f t="shared" si="14"/>
        <v>25</v>
      </c>
      <c r="BA26" s="47">
        <f t="shared" si="15"/>
        <v>17</v>
      </c>
      <c r="BB26" s="47">
        <f t="shared" si="16"/>
        <v>25</v>
      </c>
      <c r="BC26" s="47">
        <f t="shared" si="17"/>
        <v>29</v>
      </c>
      <c r="BD26" s="47">
        <f t="shared" si="18"/>
        <v>32</v>
      </c>
      <c r="BE26" s="47">
        <f t="shared" si="19"/>
        <v>10</v>
      </c>
      <c r="BF26" s="47">
        <f t="shared" si="20"/>
        <v>19</v>
      </c>
      <c r="BG26" s="47">
        <f t="shared" si="21"/>
        <v>14</v>
      </c>
      <c r="BH26" s="47">
        <f t="shared" si="22"/>
        <v>3</v>
      </c>
      <c r="BI26" s="47">
        <f t="shared" si="23"/>
        <v>9</v>
      </c>
      <c r="BJ26" s="47">
        <f t="shared" si="24"/>
        <v>16</v>
      </c>
      <c r="BK26" s="47">
        <f t="shared" si="25"/>
        <v>27</v>
      </c>
      <c r="BL26" s="47">
        <f t="shared" si="26"/>
        <v>3</v>
      </c>
      <c r="BM26" s="47">
        <f t="shared" si="27"/>
        <v>6</v>
      </c>
      <c r="BN26" s="47">
        <f t="shared" si="28"/>
        <v>5</v>
      </c>
      <c r="BO26" s="47">
        <f t="shared" si="29"/>
        <v>5</v>
      </c>
      <c r="BP26" s="47">
        <f t="shared" si="30"/>
        <v>13</v>
      </c>
      <c r="BQ26" s="47">
        <f t="shared" si="31"/>
        <v>16</v>
      </c>
      <c r="BR26" s="47">
        <f t="shared" si="32"/>
        <v>9</v>
      </c>
      <c r="BS26" s="47">
        <f t="shared" si="33"/>
        <v>9</v>
      </c>
      <c r="BT26" s="47">
        <f t="shared" si="34"/>
        <v>17</v>
      </c>
      <c r="BU26" s="47">
        <f t="shared" si="35"/>
        <v>22</v>
      </c>
    </row>
    <row r="27" spans="1:73" x14ac:dyDescent="0.2">
      <c r="A27">
        <v>22</v>
      </c>
      <c r="B27" s="46" t="s">
        <v>21</v>
      </c>
      <c r="C27" s="47">
        <v>70.400000000000006</v>
      </c>
      <c r="D27" s="47">
        <v>79.099999999999994</v>
      </c>
      <c r="E27" s="47">
        <v>94.6</v>
      </c>
      <c r="F27" s="47">
        <v>3.6</v>
      </c>
      <c r="G27" s="47">
        <v>52.1</v>
      </c>
      <c r="H27" s="47">
        <v>28.4</v>
      </c>
      <c r="I27" s="47">
        <v>53.2</v>
      </c>
      <c r="J27" s="47">
        <v>76.3</v>
      </c>
      <c r="K27" s="47">
        <v>75.900000000000006</v>
      </c>
      <c r="L27" s="47">
        <v>8.3000000000000007</v>
      </c>
      <c r="M27" s="47">
        <v>30.6</v>
      </c>
      <c r="N27" s="47">
        <v>12.8</v>
      </c>
      <c r="O27" s="47">
        <v>28.5</v>
      </c>
      <c r="P27" s="47">
        <v>50.6</v>
      </c>
      <c r="Q27" s="47">
        <v>13</v>
      </c>
      <c r="R27" s="47">
        <v>10.5</v>
      </c>
      <c r="S27" s="47">
        <v>8.5</v>
      </c>
      <c r="T27" s="47">
        <v>7.7</v>
      </c>
      <c r="U27" s="47">
        <v>28.2</v>
      </c>
      <c r="V27" s="47">
        <v>10</v>
      </c>
      <c r="W27" s="47">
        <v>63.3</v>
      </c>
      <c r="X27" s="47">
        <v>45.9</v>
      </c>
      <c r="Y27" s="48">
        <v>31664</v>
      </c>
      <c r="Z27" s="49">
        <v>0.42099999999999999</v>
      </c>
      <c r="AA27" s="48">
        <v>11389</v>
      </c>
      <c r="AB27" s="47">
        <v>31.3</v>
      </c>
      <c r="AC27" s="47">
        <v>2.9</v>
      </c>
      <c r="AD27" s="47">
        <v>17.399999999999999</v>
      </c>
      <c r="AE27" s="47">
        <v>43.1</v>
      </c>
      <c r="AF27" s="47">
        <v>5.5</v>
      </c>
      <c r="AG27" s="47">
        <v>56.3</v>
      </c>
      <c r="AH27" s="47">
        <v>20.399999999999999</v>
      </c>
      <c r="AI27" s="47">
        <v>84.4</v>
      </c>
      <c r="AJ27" s="47">
        <v>1.1000000000000001</v>
      </c>
      <c r="AK27" s="47">
        <v>91.8</v>
      </c>
      <c r="AM27" s="47">
        <f t="shared" si="1"/>
        <v>5</v>
      </c>
      <c r="AN27" s="47">
        <f t="shared" si="2"/>
        <v>9</v>
      </c>
      <c r="AO27" s="47">
        <f t="shared" si="3"/>
        <v>11</v>
      </c>
      <c r="AP27" s="47">
        <f t="shared" si="4"/>
        <v>19</v>
      </c>
      <c r="AQ27" s="47">
        <f t="shared" si="5"/>
        <v>19</v>
      </c>
      <c r="AR27" s="47">
        <f t="shared" si="6"/>
        <v>20</v>
      </c>
      <c r="AS27" s="47">
        <f t="shared" si="7"/>
        <v>31</v>
      </c>
      <c r="AT27" s="47">
        <f t="shared" si="8"/>
        <v>7</v>
      </c>
      <c r="AU27" s="47">
        <f t="shared" si="9"/>
        <v>6</v>
      </c>
      <c r="AV27" s="47">
        <f t="shared" si="10"/>
        <v>16</v>
      </c>
      <c r="AW27" s="47">
        <f t="shared" si="11"/>
        <v>29</v>
      </c>
      <c r="AX27" s="47">
        <f t="shared" si="12"/>
        <v>10</v>
      </c>
      <c r="AY27" s="47">
        <f t="shared" si="13"/>
        <v>31</v>
      </c>
      <c r="AZ27" s="47">
        <f t="shared" si="14"/>
        <v>6</v>
      </c>
      <c r="BA27" s="47">
        <f t="shared" si="15"/>
        <v>4</v>
      </c>
      <c r="BB27" s="47">
        <f t="shared" si="16"/>
        <v>3</v>
      </c>
      <c r="BC27" s="47">
        <f t="shared" si="17"/>
        <v>12</v>
      </c>
      <c r="BD27" s="47">
        <f t="shared" si="18"/>
        <v>20</v>
      </c>
      <c r="BE27" s="47">
        <f t="shared" si="19"/>
        <v>13</v>
      </c>
      <c r="BF27" s="47">
        <f t="shared" si="20"/>
        <v>25</v>
      </c>
      <c r="BG27" s="47">
        <f t="shared" si="21"/>
        <v>8</v>
      </c>
      <c r="BH27" s="47">
        <f t="shared" si="22"/>
        <v>8</v>
      </c>
      <c r="BI27" s="47">
        <f t="shared" si="23"/>
        <v>10</v>
      </c>
      <c r="BJ27" s="47">
        <f t="shared" si="24"/>
        <v>19</v>
      </c>
      <c r="BK27" s="47">
        <f t="shared" si="25"/>
        <v>10</v>
      </c>
      <c r="BL27" s="47">
        <f t="shared" si="26"/>
        <v>22</v>
      </c>
      <c r="BM27" s="47">
        <f t="shared" si="27"/>
        <v>24</v>
      </c>
      <c r="BN27" s="47">
        <f t="shared" si="28"/>
        <v>27</v>
      </c>
      <c r="BO27" s="47">
        <f t="shared" si="29"/>
        <v>25</v>
      </c>
      <c r="BP27" s="47">
        <f t="shared" si="30"/>
        <v>5</v>
      </c>
      <c r="BQ27" s="47">
        <f t="shared" si="31"/>
        <v>28</v>
      </c>
      <c r="BR27" s="47">
        <f t="shared" si="32"/>
        <v>9</v>
      </c>
      <c r="BS27" s="47">
        <f t="shared" si="33"/>
        <v>10</v>
      </c>
      <c r="BT27" s="47">
        <f t="shared" si="34"/>
        <v>5</v>
      </c>
      <c r="BU27" s="47">
        <f t="shared" si="35"/>
        <v>8</v>
      </c>
    </row>
    <row r="28" spans="1:73" x14ac:dyDescent="0.2">
      <c r="A28">
        <v>23</v>
      </c>
      <c r="B28" s="46" t="s">
        <v>22</v>
      </c>
      <c r="C28" s="47">
        <v>65.2</v>
      </c>
      <c r="D28" s="47">
        <v>75.2</v>
      </c>
      <c r="E28" s="47">
        <v>92.7</v>
      </c>
      <c r="F28" s="47">
        <v>3.5</v>
      </c>
      <c r="G28" s="47">
        <v>44.4</v>
      </c>
      <c r="H28" s="47">
        <v>24.7</v>
      </c>
      <c r="I28" s="47">
        <v>57.7</v>
      </c>
      <c r="J28" s="47">
        <v>73.599999999999994</v>
      </c>
      <c r="K28" s="47">
        <v>75.7</v>
      </c>
      <c r="L28" s="47">
        <v>8.4</v>
      </c>
      <c r="M28" s="47">
        <v>48.9</v>
      </c>
      <c r="N28" s="47">
        <v>19.600000000000001</v>
      </c>
      <c r="O28" s="47">
        <v>161.6</v>
      </c>
      <c r="P28" s="47">
        <v>50.3</v>
      </c>
      <c r="Q28" s="47">
        <v>10.3</v>
      </c>
      <c r="R28" s="47">
        <v>10.199999999999999</v>
      </c>
      <c r="S28" s="47">
        <v>8.4</v>
      </c>
      <c r="T28" s="47">
        <v>7.9</v>
      </c>
      <c r="U28" s="47">
        <v>25.4</v>
      </c>
      <c r="V28" s="47">
        <v>36.4</v>
      </c>
      <c r="W28" s="47">
        <v>45.7</v>
      </c>
      <c r="X28" s="47">
        <v>46</v>
      </c>
      <c r="Y28" s="48">
        <v>33342</v>
      </c>
      <c r="Z28" s="49">
        <v>0.46200000000000002</v>
      </c>
      <c r="AA28" s="48">
        <v>8865</v>
      </c>
      <c r="AB28" s="47">
        <v>47.5</v>
      </c>
      <c r="AC28" s="47">
        <v>10.6</v>
      </c>
      <c r="AD28" s="47">
        <v>23.6</v>
      </c>
      <c r="AE28" s="47">
        <v>48.1</v>
      </c>
      <c r="AF28" s="47">
        <v>5.9</v>
      </c>
      <c r="AG28" s="47">
        <v>63.7</v>
      </c>
      <c r="AH28" s="47">
        <v>14.7</v>
      </c>
      <c r="AI28" s="47">
        <v>100</v>
      </c>
      <c r="AJ28" s="47">
        <v>0.9</v>
      </c>
      <c r="AK28" s="47">
        <v>91.5</v>
      </c>
      <c r="AM28" s="47">
        <f t="shared" si="1"/>
        <v>13</v>
      </c>
      <c r="AN28" s="47">
        <f t="shared" si="2"/>
        <v>18</v>
      </c>
      <c r="AO28" s="47">
        <f t="shared" si="3"/>
        <v>20</v>
      </c>
      <c r="AP28" s="47">
        <f t="shared" si="4"/>
        <v>20</v>
      </c>
      <c r="AQ28" s="47">
        <f t="shared" si="5"/>
        <v>28</v>
      </c>
      <c r="AR28" s="47">
        <f t="shared" si="6"/>
        <v>27</v>
      </c>
      <c r="AS28" s="47">
        <f t="shared" si="7"/>
        <v>27</v>
      </c>
      <c r="AT28" s="47">
        <f t="shared" si="8"/>
        <v>17</v>
      </c>
      <c r="AU28" s="47">
        <f t="shared" si="9"/>
        <v>10</v>
      </c>
      <c r="AV28" s="47">
        <f t="shared" si="10"/>
        <v>9</v>
      </c>
      <c r="AW28" s="47">
        <f t="shared" si="11"/>
        <v>1</v>
      </c>
      <c r="AX28" s="47">
        <f t="shared" si="12"/>
        <v>1</v>
      </c>
      <c r="AY28" s="47">
        <f t="shared" si="13"/>
        <v>1</v>
      </c>
      <c r="AZ28" s="47">
        <f t="shared" si="14"/>
        <v>7</v>
      </c>
      <c r="BA28" s="47">
        <f t="shared" si="15"/>
        <v>20</v>
      </c>
      <c r="BB28" s="47">
        <f t="shared" si="16"/>
        <v>8</v>
      </c>
      <c r="BC28" s="47">
        <f t="shared" si="17"/>
        <v>20</v>
      </c>
      <c r="BD28" s="47">
        <f t="shared" si="18"/>
        <v>8</v>
      </c>
      <c r="BE28" s="47">
        <f t="shared" si="19"/>
        <v>20</v>
      </c>
      <c r="BF28" s="47">
        <f t="shared" si="20"/>
        <v>10</v>
      </c>
      <c r="BG28" s="47">
        <f t="shared" si="21"/>
        <v>32</v>
      </c>
      <c r="BH28" s="47">
        <f t="shared" si="22"/>
        <v>7</v>
      </c>
      <c r="BI28" s="47">
        <f t="shared" si="23"/>
        <v>5</v>
      </c>
      <c r="BJ28" s="47">
        <f t="shared" si="24"/>
        <v>4</v>
      </c>
      <c r="BK28" s="47">
        <f t="shared" si="25"/>
        <v>21</v>
      </c>
      <c r="BL28" s="47">
        <f t="shared" si="26"/>
        <v>13</v>
      </c>
      <c r="BM28" s="47">
        <f t="shared" si="27"/>
        <v>9</v>
      </c>
      <c r="BN28" s="47">
        <f t="shared" si="28"/>
        <v>16</v>
      </c>
      <c r="BO28" s="47">
        <f t="shared" si="29"/>
        <v>20</v>
      </c>
      <c r="BP28" s="47">
        <f t="shared" si="30"/>
        <v>2</v>
      </c>
      <c r="BQ28" s="47">
        <f t="shared" si="31"/>
        <v>5</v>
      </c>
      <c r="BR28" s="47">
        <f t="shared" si="32"/>
        <v>31</v>
      </c>
      <c r="BS28" s="47">
        <f t="shared" si="33"/>
        <v>1</v>
      </c>
      <c r="BT28" s="47">
        <f t="shared" si="34"/>
        <v>27</v>
      </c>
      <c r="BU28" s="47">
        <f t="shared" si="35"/>
        <v>9</v>
      </c>
    </row>
    <row r="29" spans="1:73" x14ac:dyDescent="0.2">
      <c r="A29">
        <v>24</v>
      </c>
      <c r="B29" s="46" t="s">
        <v>23</v>
      </c>
      <c r="C29" s="47">
        <v>49.4</v>
      </c>
      <c r="D29" s="47">
        <v>80.2</v>
      </c>
      <c r="E29" s="47">
        <v>82.4</v>
      </c>
      <c r="F29" s="47">
        <v>5.4</v>
      </c>
      <c r="G29" s="47">
        <v>59</v>
      </c>
      <c r="H29" s="47">
        <v>23.3</v>
      </c>
      <c r="I29" s="47">
        <v>64.7</v>
      </c>
      <c r="J29" s="47">
        <v>71</v>
      </c>
      <c r="K29" s="47">
        <v>75.2</v>
      </c>
      <c r="L29" s="47">
        <v>8.3000000000000007</v>
      </c>
      <c r="M29" s="47">
        <v>32.6</v>
      </c>
      <c r="N29" s="47">
        <v>7.7</v>
      </c>
      <c r="O29" s="47">
        <v>54.4</v>
      </c>
      <c r="P29" s="47">
        <v>42.9</v>
      </c>
      <c r="Q29" s="47">
        <v>10.4</v>
      </c>
      <c r="R29" s="47">
        <v>9.6</v>
      </c>
      <c r="S29" s="47">
        <v>8.3000000000000007</v>
      </c>
      <c r="T29" s="47">
        <v>7.6</v>
      </c>
      <c r="U29" s="47">
        <v>22.7</v>
      </c>
      <c r="V29" s="47">
        <v>28</v>
      </c>
      <c r="W29" s="47">
        <v>54.9</v>
      </c>
      <c r="X29" s="47">
        <v>43.7</v>
      </c>
      <c r="Y29" s="48">
        <v>32136</v>
      </c>
      <c r="Z29" s="49">
        <v>0.44</v>
      </c>
      <c r="AA29" s="48">
        <v>9231</v>
      </c>
      <c r="AB29" s="47">
        <v>42.8</v>
      </c>
      <c r="AC29" s="47">
        <v>8.8000000000000007</v>
      </c>
      <c r="AD29" s="47">
        <v>22.1</v>
      </c>
      <c r="AE29" s="47">
        <v>55.7</v>
      </c>
      <c r="AF29" s="47">
        <v>3.4</v>
      </c>
      <c r="AG29" s="47">
        <v>59.2</v>
      </c>
      <c r="AH29" s="47">
        <v>19.2</v>
      </c>
      <c r="AI29" s="47">
        <v>83.3</v>
      </c>
      <c r="AJ29" s="47">
        <v>1.1000000000000001</v>
      </c>
      <c r="AK29" s="47">
        <v>81.3</v>
      </c>
      <c r="AM29" s="47">
        <f t="shared" si="1"/>
        <v>23</v>
      </c>
      <c r="AN29" s="47">
        <f t="shared" si="2"/>
        <v>6</v>
      </c>
      <c r="AO29" s="47">
        <f t="shared" si="3"/>
        <v>27</v>
      </c>
      <c r="AP29" s="47">
        <f t="shared" si="4"/>
        <v>6</v>
      </c>
      <c r="AQ29" s="47">
        <f t="shared" si="5"/>
        <v>6</v>
      </c>
      <c r="AR29" s="47">
        <f t="shared" si="6"/>
        <v>28</v>
      </c>
      <c r="AS29" s="47">
        <f t="shared" si="7"/>
        <v>13</v>
      </c>
      <c r="AT29" s="47">
        <f t="shared" si="8"/>
        <v>24</v>
      </c>
      <c r="AU29" s="47">
        <f t="shared" si="9"/>
        <v>24</v>
      </c>
      <c r="AV29" s="47">
        <f t="shared" si="10"/>
        <v>16</v>
      </c>
      <c r="AW29" s="47">
        <f t="shared" si="11"/>
        <v>24</v>
      </c>
      <c r="AX29" s="47">
        <f t="shared" si="12"/>
        <v>27</v>
      </c>
      <c r="AY29" s="47">
        <f t="shared" si="13"/>
        <v>23</v>
      </c>
      <c r="AZ29" s="47">
        <f t="shared" si="14"/>
        <v>22</v>
      </c>
      <c r="BA29" s="47">
        <f t="shared" si="15"/>
        <v>19</v>
      </c>
      <c r="BB29" s="47">
        <f t="shared" si="16"/>
        <v>21</v>
      </c>
      <c r="BC29" s="47">
        <f t="shared" si="17"/>
        <v>24</v>
      </c>
      <c r="BD29" s="47">
        <f t="shared" si="18"/>
        <v>27</v>
      </c>
      <c r="BE29" s="47">
        <f t="shared" si="19"/>
        <v>25</v>
      </c>
      <c r="BF29" s="47">
        <f t="shared" si="20"/>
        <v>11</v>
      </c>
      <c r="BG29" s="47">
        <f t="shared" si="21"/>
        <v>22</v>
      </c>
      <c r="BH29" s="47">
        <f t="shared" si="22"/>
        <v>10</v>
      </c>
      <c r="BI29" s="47">
        <f t="shared" si="23"/>
        <v>8</v>
      </c>
      <c r="BJ29" s="47">
        <f t="shared" si="24"/>
        <v>15</v>
      </c>
      <c r="BK29" s="47">
        <f t="shared" si="25"/>
        <v>18</v>
      </c>
      <c r="BL29" s="47">
        <f t="shared" si="26"/>
        <v>16</v>
      </c>
      <c r="BM29" s="47">
        <f t="shared" si="27"/>
        <v>11</v>
      </c>
      <c r="BN29" s="47">
        <f t="shared" si="28"/>
        <v>19</v>
      </c>
      <c r="BO29" s="47">
        <f t="shared" si="29"/>
        <v>16</v>
      </c>
      <c r="BP29" s="47">
        <f t="shared" si="30"/>
        <v>17</v>
      </c>
      <c r="BQ29" s="47">
        <f t="shared" si="31"/>
        <v>18</v>
      </c>
      <c r="BR29" s="47">
        <f t="shared" si="32"/>
        <v>16</v>
      </c>
      <c r="BS29" s="47">
        <f t="shared" si="33"/>
        <v>12</v>
      </c>
      <c r="BT29" s="47">
        <f t="shared" si="34"/>
        <v>5</v>
      </c>
      <c r="BU29" s="47">
        <f t="shared" si="35"/>
        <v>19</v>
      </c>
    </row>
    <row r="30" spans="1:73" x14ac:dyDescent="0.2">
      <c r="A30">
        <v>25</v>
      </c>
      <c r="B30" s="46" t="s">
        <v>24</v>
      </c>
      <c r="C30" s="47">
        <v>57.8</v>
      </c>
      <c r="D30" s="47">
        <v>80.400000000000006</v>
      </c>
      <c r="E30" s="47">
        <v>92.8</v>
      </c>
      <c r="F30" s="47">
        <v>3.3</v>
      </c>
      <c r="G30" s="47">
        <v>49.1</v>
      </c>
      <c r="H30" s="47">
        <v>39.200000000000003</v>
      </c>
      <c r="I30" s="47">
        <v>70.8</v>
      </c>
      <c r="J30" s="47">
        <v>74.7</v>
      </c>
      <c r="K30" s="47">
        <v>75.400000000000006</v>
      </c>
      <c r="L30" s="47">
        <v>8.5</v>
      </c>
      <c r="M30" s="47">
        <v>39.9</v>
      </c>
      <c r="N30" s="47">
        <v>6.1</v>
      </c>
      <c r="O30" s="47">
        <v>69.099999999999994</v>
      </c>
      <c r="P30" s="47">
        <v>52</v>
      </c>
      <c r="Q30" s="47">
        <v>10</v>
      </c>
      <c r="R30" s="47">
        <v>10.199999999999999</v>
      </c>
      <c r="S30" s="47">
        <v>8.6999999999999993</v>
      </c>
      <c r="T30" s="47">
        <v>8</v>
      </c>
      <c r="U30" s="47">
        <v>15.7</v>
      </c>
      <c r="V30" s="47">
        <v>21.5</v>
      </c>
      <c r="W30" s="47">
        <v>64.5</v>
      </c>
      <c r="X30" s="47">
        <v>22.5</v>
      </c>
      <c r="Y30" s="48">
        <v>22026</v>
      </c>
      <c r="Z30" s="49">
        <v>0.39600000000000002</v>
      </c>
      <c r="AA30" s="48">
        <v>10973</v>
      </c>
      <c r="AB30" s="47">
        <v>28.1</v>
      </c>
      <c r="AC30" s="47">
        <v>2.4</v>
      </c>
      <c r="AD30" s="47">
        <v>13.4</v>
      </c>
      <c r="AE30" s="47">
        <v>48</v>
      </c>
      <c r="AF30" s="47">
        <v>2.7</v>
      </c>
      <c r="AG30" s="47">
        <v>57.1</v>
      </c>
      <c r="AH30" s="47">
        <v>16.399999999999999</v>
      </c>
      <c r="AI30" s="47">
        <v>84</v>
      </c>
      <c r="AJ30" s="47">
        <v>1</v>
      </c>
      <c r="AK30" s="47">
        <v>94.6</v>
      </c>
      <c r="AM30" s="47">
        <f t="shared" si="1"/>
        <v>16</v>
      </c>
      <c r="AN30" s="47">
        <f t="shared" si="2"/>
        <v>4</v>
      </c>
      <c r="AO30" s="47">
        <f t="shared" si="3"/>
        <v>19</v>
      </c>
      <c r="AP30" s="47">
        <f t="shared" si="4"/>
        <v>22</v>
      </c>
      <c r="AQ30" s="47">
        <f t="shared" si="5"/>
        <v>24</v>
      </c>
      <c r="AR30" s="47">
        <f t="shared" si="6"/>
        <v>3</v>
      </c>
      <c r="AS30" s="47">
        <f t="shared" si="7"/>
        <v>2</v>
      </c>
      <c r="AT30" s="47">
        <f t="shared" si="8"/>
        <v>10</v>
      </c>
      <c r="AU30" s="47">
        <f t="shared" si="9"/>
        <v>19</v>
      </c>
      <c r="AV30" s="47">
        <f t="shared" si="10"/>
        <v>7</v>
      </c>
      <c r="AW30" s="47">
        <f t="shared" si="11"/>
        <v>11</v>
      </c>
      <c r="AX30" s="47">
        <f t="shared" si="12"/>
        <v>31</v>
      </c>
      <c r="AY30" s="47">
        <f t="shared" si="13"/>
        <v>10</v>
      </c>
      <c r="AZ30" s="47">
        <f t="shared" si="14"/>
        <v>3</v>
      </c>
      <c r="BA30" s="47">
        <f t="shared" si="15"/>
        <v>22</v>
      </c>
      <c r="BB30" s="47">
        <f t="shared" si="16"/>
        <v>8</v>
      </c>
      <c r="BC30" s="47">
        <f t="shared" si="17"/>
        <v>4</v>
      </c>
      <c r="BD30" s="47">
        <f t="shared" si="18"/>
        <v>2</v>
      </c>
      <c r="BE30" s="47">
        <f t="shared" si="19"/>
        <v>32</v>
      </c>
      <c r="BF30" s="47">
        <f t="shared" si="20"/>
        <v>15</v>
      </c>
      <c r="BG30" s="47">
        <f t="shared" si="21"/>
        <v>5</v>
      </c>
      <c r="BH30" s="47">
        <f t="shared" si="22"/>
        <v>32</v>
      </c>
      <c r="BI30" s="47">
        <f t="shared" si="23"/>
        <v>26</v>
      </c>
      <c r="BJ30" s="47">
        <f t="shared" si="24"/>
        <v>27</v>
      </c>
      <c r="BK30" s="47">
        <f t="shared" si="25"/>
        <v>11</v>
      </c>
      <c r="BL30" s="47">
        <f t="shared" si="26"/>
        <v>25</v>
      </c>
      <c r="BM30" s="47">
        <f t="shared" si="27"/>
        <v>28</v>
      </c>
      <c r="BN30" s="47">
        <f t="shared" si="28"/>
        <v>32</v>
      </c>
      <c r="BO30" s="47">
        <f t="shared" si="29"/>
        <v>21</v>
      </c>
      <c r="BP30" s="47">
        <f t="shared" si="30"/>
        <v>26</v>
      </c>
      <c r="BQ30" s="47">
        <f t="shared" si="31"/>
        <v>26</v>
      </c>
      <c r="BR30" s="47">
        <f t="shared" si="32"/>
        <v>28</v>
      </c>
      <c r="BS30" s="47">
        <f t="shared" si="33"/>
        <v>11</v>
      </c>
      <c r="BT30" s="47">
        <f t="shared" si="34"/>
        <v>17</v>
      </c>
      <c r="BU30" s="47">
        <f t="shared" si="35"/>
        <v>3</v>
      </c>
    </row>
    <row r="31" spans="1:73" x14ac:dyDescent="0.2">
      <c r="A31">
        <v>26</v>
      </c>
      <c r="B31" s="46" t="s">
        <v>25</v>
      </c>
      <c r="C31" s="47">
        <v>79.400000000000006</v>
      </c>
      <c r="D31" s="47">
        <v>79.900000000000006</v>
      </c>
      <c r="E31" s="47">
        <v>91.8</v>
      </c>
      <c r="F31" s="47">
        <v>2.8</v>
      </c>
      <c r="G31" s="47">
        <v>43.8</v>
      </c>
      <c r="H31" s="47">
        <v>34.299999999999997</v>
      </c>
      <c r="I31" s="47">
        <v>64.900000000000006</v>
      </c>
      <c r="J31" s="47">
        <v>77</v>
      </c>
      <c r="K31" s="47">
        <v>75.7</v>
      </c>
      <c r="L31" s="47">
        <v>8.6</v>
      </c>
      <c r="M31" s="47">
        <v>43.9</v>
      </c>
      <c r="N31" s="47">
        <v>9.1999999999999993</v>
      </c>
      <c r="O31" s="47">
        <v>62.5</v>
      </c>
      <c r="P31" s="47">
        <v>50.8</v>
      </c>
      <c r="Q31" s="47">
        <v>8.8000000000000007</v>
      </c>
      <c r="R31" s="47">
        <v>10.4</v>
      </c>
      <c r="S31" s="47">
        <v>8.5</v>
      </c>
      <c r="T31" s="47">
        <v>7.9</v>
      </c>
      <c r="U31" s="47">
        <v>20.8</v>
      </c>
      <c r="V31" s="47">
        <v>51.5</v>
      </c>
      <c r="W31" s="47">
        <v>55.7</v>
      </c>
      <c r="X31" s="47">
        <v>37.700000000000003</v>
      </c>
      <c r="Y31" s="48">
        <v>33098</v>
      </c>
      <c r="Z31" s="49">
        <v>0.442</v>
      </c>
      <c r="AA31" s="48">
        <v>11925</v>
      </c>
      <c r="AB31" s="47">
        <v>29.9</v>
      </c>
      <c r="AC31" s="47">
        <v>3.5</v>
      </c>
      <c r="AD31" s="47">
        <v>18.8</v>
      </c>
      <c r="AE31" s="47">
        <v>41.5</v>
      </c>
      <c r="AF31" s="47">
        <v>3.8</v>
      </c>
      <c r="AG31" s="47">
        <v>62.1</v>
      </c>
      <c r="AH31" s="47">
        <v>17.899999999999999</v>
      </c>
      <c r="AI31" s="47">
        <v>47.3</v>
      </c>
      <c r="AJ31" s="47">
        <v>1.1000000000000001</v>
      </c>
      <c r="AK31" s="47">
        <v>75.400000000000006</v>
      </c>
      <c r="AM31" s="47">
        <f t="shared" si="1"/>
        <v>2</v>
      </c>
      <c r="AN31" s="47">
        <f t="shared" si="2"/>
        <v>7</v>
      </c>
      <c r="AO31" s="47">
        <f t="shared" si="3"/>
        <v>21</v>
      </c>
      <c r="AP31" s="47">
        <f t="shared" si="4"/>
        <v>27</v>
      </c>
      <c r="AQ31" s="47">
        <f t="shared" si="5"/>
        <v>30</v>
      </c>
      <c r="AR31" s="47">
        <f t="shared" si="6"/>
        <v>11</v>
      </c>
      <c r="AS31" s="47">
        <f t="shared" si="7"/>
        <v>11</v>
      </c>
      <c r="AT31" s="47">
        <f t="shared" si="8"/>
        <v>6</v>
      </c>
      <c r="AU31" s="47">
        <f t="shared" si="9"/>
        <v>10</v>
      </c>
      <c r="AV31" s="47">
        <f t="shared" si="10"/>
        <v>2</v>
      </c>
      <c r="AW31" s="47">
        <f t="shared" si="11"/>
        <v>6</v>
      </c>
      <c r="AX31" s="47">
        <f t="shared" si="12"/>
        <v>23</v>
      </c>
      <c r="AY31" s="47">
        <f t="shared" si="13"/>
        <v>15</v>
      </c>
      <c r="AZ31" s="47">
        <f t="shared" si="14"/>
        <v>5</v>
      </c>
      <c r="BA31" s="47">
        <f t="shared" si="15"/>
        <v>26</v>
      </c>
      <c r="BB31" s="47">
        <f t="shared" si="16"/>
        <v>4</v>
      </c>
      <c r="BC31" s="47">
        <f t="shared" si="17"/>
        <v>12</v>
      </c>
      <c r="BD31" s="47">
        <f t="shared" si="18"/>
        <v>8</v>
      </c>
      <c r="BE31" s="47">
        <f t="shared" si="19"/>
        <v>28</v>
      </c>
      <c r="BF31" s="47">
        <f t="shared" si="20"/>
        <v>6</v>
      </c>
      <c r="BG31" s="47">
        <f t="shared" si="21"/>
        <v>19</v>
      </c>
      <c r="BH31" s="47">
        <f t="shared" si="22"/>
        <v>17</v>
      </c>
      <c r="BI31" s="47">
        <f t="shared" si="23"/>
        <v>7</v>
      </c>
      <c r="BJ31" s="47">
        <f t="shared" si="24"/>
        <v>13</v>
      </c>
      <c r="BK31" s="47">
        <f t="shared" si="25"/>
        <v>5</v>
      </c>
      <c r="BL31" s="47">
        <f t="shared" si="26"/>
        <v>24</v>
      </c>
      <c r="BM31" s="47">
        <f t="shared" si="27"/>
        <v>22</v>
      </c>
      <c r="BN31" s="47">
        <f t="shared" si="28"/>
        <v>26</v>
      </c>
      <c r="BO31" s="47">
        <f t="shared" si="29"/>
        <v>26</v>
      </c>
      <c r="BP31" s="47">
        <f t="shared" si="30"/>
        <v>14</v>
      </c>
      <c r="BQ31" s="47">
        <f t="shared" si="31"/>
        <v>6</v>
      </c>
      <c r="BR31" s="47">
        <f t="shared" si="32"/>
        <v>22</v>
      </c>
      <c r="BS31" s="47">
        <f t="shared" si="33"/>
        <v>27</v>
      </c>
      <c r="BT31" s="47">
        <f t="shared" si="34"/>
        <v>5</v>
      </c>
      <c r="BU31" s="47">
        <f t="shared" si="35"/>
        <v>23</v>
      </c>
    </row>
    <row r="32" spans="1:73" x14ac:dyDescent="0.2">
      <c r="A32">
        <v>27</v>
      </c>
      <c r="B32" s="46" t="s">
        <v>26</v>
      </c>
      <c r="C32" s="47">
        <v>44.5</v>
      </c>
      <c r="D32" s="47">
        <v>73</v>
      </c>
      <c r="E32" s="47">
        <v>80.8</v>
      </c>
      <c r="F32" s="47">
        <v>4.5</v>
      </c>
      <c r="G32" s="47">
        <v>53.5</v>
      </c>
      <c r="H32" s="47">
        <v>30.4</v>
      </c>
      <c r="I32" s="47">
        <v>64.900000000000006</v>
      </c>
      <c r="J32" s="47">
        <v>67.7</v>
      </c>
      <c r="K32" s="47">
        <v>75.3</v>
      </c>
      <c r="L32" s="47">
        <v>8</v>
      </c>
      <c r="M32" s="47">
        <v>47.3</v>
      </c>
      <c r="N32" s="47">
        <v>14.2</v>
      </c>
      <c r="O32" s="47">
        <v>76.5</v>
      </c>
      <c r="P32" s="47">
        <v>45.9</v>
      </c>
      <c r="Q32" s="47">
        <v>8.5</v>
      </c>
      <c r="R32" s="47">
        <v>9.6999999999999993</v>
      </c>
      <c r="S32" s="47">
        <v>8.3000000000000007</v>
      </c>
      <c r="T32" s="47">
        <v>7.7</v>
      </c>
      <c r="U32" s="47">
        <v>33.700000000000003</v>
      </c>
      <c r="V32" s="47">
        <v>22.7</v>
      </c>
      <c r="W32" s="47">
        <v>53.4</v>
      </c>
      <c r="X32" s="47">
        <v>51.8</v>
      </c>
      <c r="Y32" s="48">
        <v>35677</v>
      </c>
      <c r="Z32" s="49">
        <v>0.45600000000000002</v>
      </c>
      <c r="AA32" s="48">
        <v>8316</v>
      </c>
      <c r="AB32" s="47">
        <v>54.5</v>
      </c>
      <c r="AC32" s="47">
        <v>13.7</v>
      </c>
      <c r="AD32" s="47">
        <v>30.6</v>
      </c>
      <c r="AE32" s="47">
        <v>64.900000000000006</v>
      </c>
      <c r="AF32" s="47">
        <v>5.8</v>
      </c>
      <c r="AG32" s="47">
        <v>55.7</v>
      </c>
      <c r="AH32" s="47">
        <v>22.1</v>
      </c>
      <c r="AI32" s="47">
        <v>36.1</v>
      </c>
      <c r="AJ32" s="47">
        <v>0.9</v>
      </c>
      <c r="AK32" s="47">
        <v>41.9</v>
      </c>
      <c r="AM32" s="47">
        <f t="shared" si="1"/>
        <v>30</v>
      </c>
      <c r="AN32" s="47">
        <f t="shared" si="2"/>
        <v>22</v>
      </c>
      <c r="AO32" s="47">
        <f t="shared" si="3"/>
        <v>28</v>
      </c>
      <c r="AP32" s="47">
        <f t="shared" si="4"/>
        <v>14</v>
      </c>
      <c r="AQ32" s="47">
        <f t="shared" si="5"/>
        <v>13</v>
      </c>
      <c r="AR32" s="47">
        <f t="shared" si="6"/>
        <v>18</v>
      </c>
      <c r="AS32" s="47">
        <f t="shared" si="7"/>
        <v>11</v>
      </c>
      <c r="AT32" s="47">
        <f t="shared" si="8"/>
        <v>30</v>
      </c>
      <c r="AU32" s="47">
        <f t="shared" si="9"/>
        <v>22</v>
      </c>
      <c r="AV32" s="47">
        <f t="shared" si="10"/>
        <v>31</v>
      </c>
      <c r="AW32" s="47">
        <f t="shared" si="11"/>
        <v>3</v>
      </c>
      <c r="AX32" s="47">
        <f t="shared" si="12"/>
        <v>6</v>
      </c>
      <c r="AY32" s="47">
        <f t="shared" si="13"/>
        <v>7</v>
      </c>
      <c r="AZ32" s="47">
        <f t="shared" si="14"/>
        <v>16</v>
      </c>
      <c r="BA32" s="47">
        <f t="shared" si="15"/>
        <v>27</v>
      </c>
      <c r="BB32" s="47">
        <f t="shared" si="16"/>
        <v>18</v>
      </c>
      <c r="BC32" s="47">
        <f t="shared" si="17"/>
        <v>24</v>
      </c>
      <c r="BD32" s="47">
        <f t="shared" si="18"/>
        <v>20</v>
      </c>
      <c r="BE32" s="47">
        <f t="shared" si="19"/>
        <v>2</v>
      </c>
      <c r="BF32" s="47">
        <f t="shared" si="20"/>
        <v>13</v>
      </c>
      <c r="BG32" s="47">
        <f t="shared" si="21"/>
        <v>24</v>
      </c>
      <c r="BH32" s="47">
        <f t="shared" si="22"/>
        <v>4</v>
      </c>
      <c r="BI32" s="47">
        <f t="shared" si="23"/>
        <v>4</v>
      </c>
      <c r="BJ32" s="47">
        <f t="shared" si="24"/>
        <v>5</v>
      </c>
      <c r="BK32" s="47">
        <f t="shared" si="25"/>
        <v>24</v>
      </c>
      <c r="BL32" s="47">
        <f t="shared" si="26"/>
        <v>7</v>
      </c>
      <c r="BM32" s="47">
        <f t="shared" si="27"/>
        <v>5</v>
      </c>
      <c r="BN32" s="47">
        <f t="shared" si="28"/>
        <v>3</v>
      </c>
      <c r="BO32" s="47">
        <f t="shared" si="29"/>
        <v>10</v>
      </c>
      <c r="BP32" s="47">
        <f t="shared" si="30"/>
        <v>3</v>
      </c>
      <c r="BQ32" s="47">
        <f t="shared" si="31"/>
        <v>30</v>
      </c>
      <c r="BR32" s="47">
        <f t="shared" si="32"/>
        <v>4</v>
      </c>
      <c r="BS32" s="47">
        <f t="shared" si="33"/>
        <v>31</v>
      </c>
      <c r="BT32" s="47">
        <f t="shared" si="34"/>
        <v>27</v>
      </c>
      <c r="BU32" s="47">
        <f t="shared" si="35"/>
        <v>31</v>
      </c>
    </row>
    <row r="33" spans="1:73" x14ac:dyDescent="0.2">
      <c r="A33">
        <v>28</v>
      </c>
      <c r="B33" s="46" t="s">
        <v>27</v>
      </c>
      <c r="C33" s="47">
        <v>65.900000000000006</v>
      </c>
      <c r="D33" s="47">
        <v>80.400000000000006</v>
      </c>
      <c r="E33" s="47">
        <v>93.7</v>
      </c>
      <c r="F33" s="47">
        <v>5.0999999999999996</v>
      </c>
      <c r="G33" s="47">
        <v>52.7</v>
      </c>
      <c r="H33" s="47">
        <v>40.4</v>
      </c>
      <c r="I33" s="47">
        <v>69.400000000000006</v>
      </c>
      <c r="J33" s="47">
        <v>73.8</v>
      </c>
      <c r="K33" s="47">
        <v>75.5</v>
      </c>
      <c r="L33" s="47">
        <v>8.4</v>
      </c>
      <c r="M33" s="47">
        <v>40.9</v>
      </c>
      <c r="N33" s="47">
        <v>11.7</v>
      </c>
      <c r="O33" s="47">
        <v>82.2</v>
      </c>
      <c r="P33" s="47">
        <v>48.3</v>
      </c>
      <c r="Q33" s="47">
        <v>9.4</v>
      </c>
      <c r="R33" s="47">
        <v>10.1</v>
      </c>
      <c r="S33" s="47">
        <v>8.6</v>
      </c>
      <c r="T33" s="47">
        <v>8</v>
      </c>
      <c r="U33" s="47">
        <v>24</v>
      </c>
      <c r="V33" s="47">
        <v>21.9</v>
      </c>
      <c r="W33" s="47">
        <v>55.2</v>
      </c>
      <c r="X33" s="47">
        <v>27.2</v>
      </c>
      <c r="Y33" s="48">
        <v>20594</v>
      </c>
      <c r="Z33" s="49">
        <v>0.42599999999999999</v>
      </c>
      <c r="AA33" s="48">
        <v>9796</v>
      </c>
      <c r="AB33" s="47">
        <v>34.9</v>
      </c>
      <c r="AC33" s="47">
        <v>3.8</v>
      </c>
      <c r="AD33" s="47">
        <v>29.6</v>
      </c>
      <c r="AE33" s="47">
        <v>45.1</v>
      </c>
      <c r="AF33" s="47">
        <v>3.5</v>
      </c>
      <c r="AG33" s="47">
        <v>60</v>
      </c>
      <c r="AH33" s="47">
        <v>19.899999999999999</v>
      </c>
      <c r="AI33" s="47">
        <v>93.3</v>
      </c>
      <c r="AJ33" s="47">
        <v>1.1000000000000001</v>
      </c>
      <c r="AK33" s="47">
        <v>87.9</v>
      </c>
      <c r="AM33" s="47">
        <f t="shared" si="1"/>
        <v>11</v>
      </c>
      <c r="AN33" s="47">
        <f t="shared" si="2"/>
        <v>4</v>
      </c>
      <c r="AO33" s="47">
        <f t="shared" si="3"/>
        <v>14</v>
      </c>
      <c r="AP33" s="47">
        <f t="shared" si="4"/>
        <v>10</v>
      </c>
      <c r="AQ33" s="47">
        <f t="shared" si="5"/>
        <v>17</v>
      </c>
      <c r="AR33" s="47">
        <f t="shared" si="6"/>
        <v>2</v>
      </c>
      <c r="AS33" s="47">
        <f t="shared" si="7"/>
        <v>5</v>
      </c>
      <c r="AT33" s="47">
        <f t="shared" si="8"/>
        <v>15</v>
      </c>
      <c r="AU33" s="47">
        <f t="shared" si="9"/>
        <v>15</v>
      </c>
      <c r="AV33" s="47">
        <f t="shared" si="10"/>
        <v>9</v>
      </c>
      <c r="AW33" s="47">
        <f t="shared" si="11"/>
        <v>10</v>
      </c>
      <c r="AX33" s="47">
        <f t="shared" si="12"/>
        <v>14</v>
      </c>
      <c r="AY33" s="47">
        <f t="shared" si="13"/>
        <v>4</v>
      </c>
      <c r="AZ33" s="47">
        <f t="shared" si="14"/>
        <v>12</v>
      </c>
      <c r="BA33" s="47">
        <f t="shared" si="15"/>
        <v>24</v>
      </c>
      <c r="BB33" s="47">
        <f t="shared" si="16"/>
        <v>11</v>
      </c>
      <c r="BC33" s="47">
        <f t="shared" si="17"/>
        <v>7</v>
      </c>
      <c r="BD33" s="47">
        <f t="shared" si="18"/>
        <v>2</v>
      </c>
      <c r="BE33" s="47">
        <f t="shared" si="19"/>
        <v>22</v>
      </c>
      <c r="BF33" s="47">
        <f t="shared" si="20"/>
        <v>14</v>
      </c>
      <c r="BG33" s="47">
        <f t="shared" si="21"/>
        <v>21</v>
      </c>
      <c r="BH33" s="47">
        <f t="shared" si="22"/>
        <v>27</v>
      </c>
      <c r="BI33" s="47">
        <f t="shared" si="23"/>
        <v>30</v>
      </c>
      <c r="BJ33" s="47">
        <f t="shared" si="24"/>
        <v>18</v>
      </c>
      <c r="BK33" s="47">
        <f t="shared" si="25"/>
        <v>14</v>
      </c>
      <c r="BL33" s="47">
        <f t="shared" si="26"/>
        <v>19</v>
      </c>
      <c r="BM33" s="47">
        <f t="shared" si="27"/>
        <v>20</v>
      </c>
      <c r="BN33" s="47">
        <f t="shared" si="28"/>
        <v>7</v>
      </c>
      <c r="BO33" s="47">
        <f t="shared" si="29"/>
        <v>24</v>
      </c>
      <c r="BP33" s="47">
        <f t="shared" si="30"/>
        <v>15</v>
      </c>
      <c r="BQ33" s="47">
        <f t="shared" si="31"/>
        <v>15</v>
      </c>
      <c r="BR33" s="47">
        <f t="shared" si="32"/>
        <v>14</v>
      </c>
      <c r="BS33" s="47">
        <f t="shared" si="33"/>
        <v>6</v>
      </c>
      <c r="BT33" s="47">
        <f t="shared" si="34"/>
        <v>5</v>
      </c>
      <c r="BU33" s="47">
        <f t="shared" si="35"/>
        <v>13</v>
      </c>
    </row>
    <row r="34" spans="1:73" x14ac:dyDescent="0.2">
      <c r="A34">
        <v>29</v>
      </c>
      <c r="B34" s="46" t="s">
        <v>28</v>
      </c>
      <c r="C34" s="47">
        <v>46.6</v>
      </c>
      <c r="D34" s="47">
        <v>72.400000000000006</v>
      </c>
      <c r="E34" s="47">
        <v>96.9</v>
      </c>
      <c r="F34" s="47">
        <v>5.3</v>
      </c>
      <c r="G34" s="47">
        <v>66.5</v>
      </c>
      <c r="H34" s="47">
        <v>21.8</v>
      </c>
      <c r="I34" s="47">
        <v>55.6</v>
      </c>
      <c r="J34" s="47">
        <v>66.900000000000006</v>
      </c>
      <c r="K34" s="47">
        <v>75.5</v>
      </c>
      <c r="L34" s="47">
        <v>8.3000000000000007</v>
      </c>
      <c r="M34" s="47">
        <v>32.299999999999997</v>
      </c>
      <c r="N34" s="47">
        <v>12.5</v>
      </c>
      <c r="O34" s="47">
        <v>63.4</v>
      </c>
      <c r="P34" s="47">
        <v>44.1</v>
      </c>
      <c r="Q34" s="47">
        <v>6.9</v>
      </c>
      <c r="R34" s="47">
        <v>9.8000000000000007</v>
      </c>
      <c r="S34" s="47">
        <v>8.3000000000000007</v>
      </c>
      <c r="T34" s="47">
        <v>7.4</v>
      </c>
      <c r="U34" s="47">
        <v>33.1</v>
      </c>
      <c r="V34" s="47">
        <v>11.2</v>
      </c>
      <c r="W34" s="47">
        <v>55.4</v>
      </c>
      <c r="X34" s="47">
        <v>45</v>
      </c>
      <c r="Y34" s="48">
        <v>27130</v>
      </c>
      <c r="Z34" s="49">
        <v>0.39500000000000002</v>
      </c>
      <c r="AA34" s="48">
        <v>7095</v>
      </c>
      <c r="AB34" s="47">
        <v>59.3</v>
      </c>
      <c r="AC34" s="47">
        <v>9.8000000000000007</v>
      </c>
      <c r="AD34" s="47">
        <v>36.9</v>
      </c>
      <c r="AE34" s="47">
        <v>71.599999999999994</v>
      </c>
      <c r="AF34" s="47">
        <v>5.2</v>
      </c>
      <c r="AG34" s="47">
        <v>60.5</v>
      </c>
      <c r="AH34" s="47">
        <v>21.7</v>
      </c>
      <c r="AI34" s="47">
        <v>86.6</v>
      </c>
      <c r="AJ34" s="47">
        <v>1</v>
      </c>
      <c r="AK34" s="47">
        <v>94.1</v>
      </c>
      <c r="AM34" s="47">
        <f t="shared" si="1"/>
        <v>27</v>
      </c>
      <c r="AN34" s="47">
        <f t="shared" si="2"/>
        <v>23</v>
      </c>
      <c r="AO34" s="47">
        <f t="shared" si="3"/>
        <v>7</v>
      </c>
      <c r="AP34" s="47">
        <f t="shared" si="4"/>
        <v>7</v>
      </c>
      <c r="AQ34" s="47">
        <f t="shared" si="5"/>
        <v>1</v>
      </c>
      <c r="AR34" s="47">
        <f t="shared" si="6"/>
        <v>31</v>
      </c>
      <c r="AS34" s="47">
        <f t="shared" si="7"/>
        <v>29</v>
      </c>
      <c r="AT34" s="47">
        <f t="shared" si="8"/>
        <v>31</v>
      </c>
      <c r="AU34" s="47">
        <f t="shared" si="9"/>
        <v>15</v>
      </c>
      <c r="AV34" s="47">
        <f t="shared" si="10"/>
        <v>16</v>
      </c>
      <c r="AW34" s="47">
        <f t="shared" si="11"/>
        <v>26</v>
      </c>
      <c r="AX34" s="47">
        <f t="shared" si="12"/>
        <v>11</v>
      </c>
      <c r="AY34" s="47">
        <f t="shared" si="13"/>
        <v>13</v>
      </c>
      <c r="AZ34" s="47">
        <f t="shared" si="14"/>
        <v>21</v>
      </c>
      <c r="BA34" s="47">
        <f t="shared" si="15"/>
        <v>30</v>
      </c>
      <c r="BB34" s="47">
        <f t="shared" si="16"/>
        <v>16</v>
      </c>
      <c r="BC34" s="47">
        <f t="shared" si="17"/>
        <v>24</v>
      </c>
      <c r="BD34" s="47">
        <f t="shared" si="18"/>
        <v>31</v>
      </c>
      <c r="BE34" s="47">
        <f t="shared" si="19"/>
        <v>3</v>
      </c>
      <c r="BF34" s="47">
        <f t="shared" si="20"/>
        <v>24</v>
      </c>
      <c r="BG34" s="47">
        <f t="shared" si="21"/>
        <v>20</v>
      </c>
      <c r="BH34" s="47">
        <f t="shared" si="22"/>
        <v>9</v>
      </c>
      <c r="BI34" s="47">
        <f t="shared" si="23"/>
        <v>16</v>
      </c>
      <c r="BJ34" s="47">
        <f t="shared" si="24"/>
        <v>28</v>
      </c>
      <c r="BK34" s="47">
        <f t="shared" si="25"/>
        <v>28</v>
      </c>
      <c r="BL34" s="47">
        <f t="shared" si="26"/>
        <v>5</v>
      </c>
      <c r="BM34" s="47">
        <f t="shared" si="27"/>
        <v>10</v>
      </c>
      <c r="BN34" s="47">
        <f t="shared" si="28"/>
        <v>2</v>
      </c>
      <c r="BO34" s="47">
        <f t="shared" si="29"/>
        <v>6</v>
      </c>
      <c r="BP34" s="47">
        <f t="shared" si="30"/>
        <v>6</v>
      </c>
      <c r="BQ34" s="47">
        <f t="shared" si="31"/>
        <v>11</v>
      </c>
      <c r="BR34" s="47">
        <f t="shared" si="32"/>
        <v>5</v>
      </c>
      <c r="BS34" s="47">
        <f t="shared" si="33"/>
        <v>8</v>
      </c>
      <c r="BT34" s="47">
        <f t="shared" si="34"/>
        <v>17</v>
      </c>
      <c r="BU34" s="47">
        <f t="shared" si="35"/>
        <v>5</v>
      </c>
    </row>
    <row r="35" spans="1:73" x14ac:dyDescent="0.2">
      <c r="A35">
        <v>30</v>
      </c>
      <c r="B35" s="46" t="s">
        <v>171</v>
      </c>
      <c r="C35" s="47">
        <v>46.4</v>
      </c>
      <c r="D35" s="47">
        <v>69</v>
      </c>
      <c r="E35" s="47">
        <v>77.8</v>
      </c>
      <c r="F35" s="47">
        <v>5.3</v>
      </c>
      <c r="G35" s="47">
        <v>60.4</v>
      </c>
      <c r="H35" s="47">
        <v>29.2</v>
      </c>
      <c r="I35" s="47">
        <v>60.9</v>
      </c>
      <c r="J35" s="47">
        <v>72.7</v>
      </c>
      <c r="K35" s="47">
        <v>74.900000000000006</v>
      </c>
      <c r="L35" s="47">
        <v>8.1</v>
      </c>
      <c r="M35" s="47">
        <v>39</v>
      </c>
      <c r="N35" s="47">
        <v>9.9</v>
      </c>
      <c r="O35" s="47">
        <v>34.5</v>
      </c>
      <c r="P35" s="47">
        <v>40</v>
      </c>
      <c r="Q35" s="47">
        <v>5.8</v>
      </c>
      <c r="R35" s="47">
        <v>8.6999999999999993</v>
      </c>
      <c r="S35" s="47">
        <v>8.3000000000000007</v>
      </c>
      <c r="T35" s="47">
        <v>7.8</v>
      </c>
      <c r="U35" s="47">
        <v>27.8</v>
      </c>
      <c r="V35" s="47">
        <v>13.8</v>
      </c>
      <c r="W35" s="47">
        <v>53.1</v>
      </c>
      <c r="X35" s="47">
        <v>34.700000000000003</v>
      </c>
      <c r="Y35" s="48">
        <v>18778</v>
      </c>
      <c r="Z35" s="49">
        <v>0.42</v>
      </c>
      <c r="AA35" s="48">
        <v>6967</v>
      </c>
      <c r="AB35" s="47">
        <v>58.6</v>
      </c>
      <c r="AC35" s="47">
        <v>13.9</v>
      </c>
      <c r="AD35" s="47">
        <v>30.1</v>
      </c>
      <c r="AE35" s="47">
        <v>70.7</v>
      </c>
      <c r="AF35" s="47">
        <v>3.4</v>
      </c>
      <c r="AG35" s="47">
        <v>53.7</v>
      </c>
      <c r="AH35" s="47">
        <v>20.2</v>
      </c>
      <c r="AI35" s="47">
        <v>44.9</v>
      </c>
      <c r="AJ35" s="47">
        <v>1</v>
      </c>
      <c r="AK35" s="47">
        <v>54.7</v>
      </c>
      <c r="AM35" s="47">
        <f t="shared" si="1"/>
        <v>28</v>
      </c>
      <c r="AN35" s="47">
        <f t="shared" si="2"/>
        <v>24</v>
      </c>
      <c r="AO35" s="47">
        <f t="shared" si="3"/>
        <v>29</v>
      </c>
      <c r="AP35" s="47">
        <f t="shared" si="4"/>
        <v>7</v>
      </c>
      <c r="AQ35" s="47">
        <f t="shared" si="5"/>
        <v>5</v>
      </c>
      <c r="AR35" s="47">
        <f t="shared" si="6"/>
        <v>19</v>
      </c>
      <c r="AS35" s="47">
        <f t="shared" si="7"/>
        <v>23</v>
      </c>
      <c r="AT35" s="47">
        <f t="shared" si="8"/>
        <v>20</v>
      </c>
      <c r="AU35" s="47">
        <f t="shared" si="9"/>
        <v>29</v>
      </c>
      <c r="AV35" s="47">
        <f t="shared" si="10"/>
        <v>28</v>
      </c>
      <c r="AW35" s="47">
        <f t="shared" si="11"/>
        <v>12</v>
      </c>
      <c r="AX35" s="47">
        <f t="shared" si="12"/>
        <v>21</v>
      </c>
      <c r="AY35" s="47">
        <f t="shared" si="13"/>
        <v>29</v>
      </c>
      <c r="AZ35" s="47">
        <f t="shared" si="14"/>
        <v>26</v>
      </c>
      <c r="BA35" s="47">
        <f t="shared" si="15"/>
        <v>31</v>
      </c>
      <c r="BB35" s="47">
        <f t="shared" si="16"/>
        <v>28</v>
      </c>
      <c r="BC35" s="47">
        <f t="shared" si="17"/>
        <v>24</v>
      </c>
      <c r="BD35" s="47">
        <f t="shared" si="18"/>
        <v>13</v>
      </c>
      <c r="BE35" s="47">
        <f t="shared" si="19"/>
        <v>14</v>
      </c>
      <c r="BF35" s="47">
        <f t="shared" si="20"/>
        <v>22</v>
      </c>
      <c r="BG35" s="47">
        <f t="shared" si="21"/>
        <v>25</v>
      </c>
      <c r="BH35" s="47">
        <f t="shared" si="22"/>
        <v>20</v>
      </c>
      <c r="BI35" s="47">
        <f t="shared" si="23"/>
        <v>31</v>
      </c>
      <c r="BJ35" s="47">
        <f t="shared" si="24"/>
        <v>21</v>
      </c>
      <c r="BK35" s="47">
        <f t="shared" si="25"/>
        <v>30</v>
      </c>
      <c r="BL35" s="47">
        <f t="shared" si="26"/>
        <v>6</v>
      </c>
      <c r="BM35" s="47">
        <f t="shared" si="27"/>
        <v>4</v>
      </c>
      <c r="BN35" s="47">
        <f t="shared" si="28"/>
        <v>5</v>
      </c>
      <c r="BO35" s="47">
        <f t="shared" si="29"/>
        <v>7</v>
      </c>
      <c r="BP35" s="47">
        <f t="shared" si="30"/>
        <v>17</v>
      </c>
      <c r="BQ35" s="47">
        <f t="shared" si="31"/>
        <v>32</v>
      </c>
      <c r="BR35" s="47">
        <f t="shared" si="32"/>
        <v>13</v>
      </c>
      <c r="BS35" s="47">
        <f t="shared" si="33"/>
        <v>28</v>
      </c>
      <c r="BT35" s="47">
        <f t="shared" si="34"/>
        <v>17</v>
      </c>
      <c r="BU35" s="47">
        <f t="shared" si="35"/>
        <v>28</v>
      </c>
    </row>
    <row r="36" spans="1:73" x14ac:dyDescent="0.2">
      <c r="A36">
        <v>31</v>
      </c>
      <c r="B36" s="46" t="s">
        <v>30</v>
      </c>
      <c r="C36" s="47">
        <v>54.4</v>
      </c>
      <c r="D36" s="47">
        <v>75.3</v>
      </c>
      <c r="E36" s="47">
        <v>92.9</v>
      </c>
      <c r="F36" s="47">
        <v>5.2</v>
      </c>
      <c r="G36" s="47">
        <v>63.8</v>
      </c>
      <c r="H36" s="47">
        <v>34.6</v>
      </c>
      <c r="I36" s="47">
        <v>67.7</v>
      </c>
      <c r="J36" s="47">
        <v>75</v>
      </c>
      <c r="K36" s="47">
        <v>75</v>
      </c>
      <c r="L36" s="47">
        <v>8.4</v>
      </c>
      <c r="M36" s="47">
        <v>45.2</v>
      </c>
      <c r="N36" s="47">
        <v>12.2</v>
      </c>
      <c r="O36" s="47">
        <v>68</v>
      </c>
      <c r="P36" s="47">
        <v>44.7</v>
      </c>
      <c r="Q36" s="47">
        <v>9.8000000000000007</v>
      </c>
      <c r="R36" s="47">
        <v>9.6</v>
      </c>
      <c r="S36" s="47">
        <v>8.5</v>
      </c>
      <c r="T36" s="47">
        <v>7.7</v>
      </c>
      <c r="U36" s="47">
        <v>28.5</v>
      </c>
      <c r="V36" s="47">
        <v>3.2</v>
      </c>
      <c r="W36" s="47">
        <v>71.5</v>
      </c>
      <c r="X36" s="47">
        <v>25</v>
      </c>
      <c r="Y36" s="48">
        <v>21348</v>
      </c>
      <c r="Z36" s="49">
        <v>0.46500000000000002</v>
      </c>
      <c r="AA36" s="48">
        <v>8810</v>
      </c>
      <c r="AB36" s="47">
        <v>49.5</v>
      </c>
      <c r="AC36" s="47">
        <v>11.3</v>
      </c>
      <c r="AD36" s="47">
        <v>26.3</v>
      </c>
      <c r="AE36" s="47">
        <v>60.8</v>
      </c>
      <c r="AF36" s="47">
        <v>2.5</v>
      </c>
      <c r="AG36" s="47">
        <v>64.8</v>
      </c>
      <c r="AH36" s="47">
        <v>17.399999999999999</v>
      </c>
      <c r="AI36" s="47">
        <v>61</v>
      </c>
      <c r="AJ36" s="47">
        <v>1</v>
      </c>
      <c r="AK36" s="47">
        <v>92.6</v>
      </c>
      <c r="AM36" s="47">
        <f t="shared" si="1"/>
        <v>19</v>
      </c>
      <c r="AN36" s="47">
        <f t="shared" si="2"/>
        <v>16</v>
      </c>
      <c r="AO36" s="47">
        <f t="shared" si="3"/>
        <v>18</v>
      </c>
      <c r="AP36" s="47">
        <f t="shared" si="4"/>
        <v>9</v>
      </c>
      <c r="AQ36" s="47">
        <f t="shared" si="5"/>
        <v>2</v>
      </c>
      <c r="AR36" s="47">
        <f t="shared" si="6"/>
        <v>10</v>
      </c>
      <c r="AS36" s="47">
        <f t="shared" si="7"/>
        <v>7</v>
      </c>
      <c r="AT36" s="47">
        <f t="shared" si="8"/>
        <v>9</v>
      </c>
      <c r="AU36" s="47">
        <f t="shared" si="9"/>
        <v>28</v>
      </c>
      <c r="AV36" s="47">
        <f t="shared" si="10"/>
        <v>9</v>
      </c>
      <c r="AW36" s="47">
        <f t="shared" si="11"/>
        <v>4</v>
      </c>
      <c r="AX36" s="47">
        <f t="shared" si="12"/>
        <v>12</v>
      </c>
      <c r="AY36" s="47">
        <f t="shared" si="13"/>
        <v>12</v>
      </c>
      <c r="AZ36" s="47">
        <f t="shared" si="14"/>
        <v>19</v>
      </c>
      <c r="BA36" s="47">
        <f t="shared" si="15"/>
        <v>23</v>
      </c>
      <c r="BB36" s="47">
        <f t="shared" si="16"/>
        <v>21</v>
      </c>
      <c r="BC36" s="47">
        <f t="shared" si="17"/>
        <v>12</v>
      </c>
      <c r="BD36" s="47">
        <f t="shared" si="18"/>
        <v>20</v>
      </c>
      <c r="BE36" s="47">
        <f t="shared" si="19"/>
        <v>12</v>
      </c>
      <c r="BF36" s="47">
        <f t="shared" si="20"/>
        <v>32</v>
      </c>
      <c r="BG36" s="47">
        <f t="shared" si="21"/>
        <v>1</v>
      </c>
      <c r="BH36" s="47">
        <f t="shared" si="22"/>
        <v>30</v>
      </c>
      <c r="BI36" s="47">
        <f t="shared" si="23"/>
        <v>29</v>
      </c>
      <c r="BJ36" s="47">
        <f t="shared" si="24"/>
        <v>3</v>
      </c>
      <c r="BK36" s="47">
        <f t="shared" si="25"/>
        <v>22</v>
      </c>
      <c r="BL36" s="47">
        <f t="shared" si="26"/>
        <v>11</v>
      </c>
      <c r="BM36" s="47">
        <f t="shared" si="27"/>
        <v>8</v>
      </c>
      <c r="BN36" s="47">
        <f t="shared" si="28"/>
        <v>13</v>
      </c>
      <c r="BO36" s="47">
        <f t="shared" si="29"/>
        <v>13</v>
      </c>
      <c r="BP36" s="47">
        <f t="shared" si="30"/>
        <v>27</v>
      </c>
      <c r="BQ36" s="47">
        <f t="shared" si="31"/>
        <v>4</v>
      </c>
      <c r="BR36" s="47">
        <f t="shared" si="32"/>
        <v>25</v>
      </c>
      <c r="BS36" s="47">
        <f t="shared" si="33"/>
        <v>24</v>
      </c>
      <c r="BT36" s="47">
        <f t="shared" si="34"/>
        <v>17</v>
      </c>
      <c r="BU36" s="47">
        <f t="shared" si="35"/>
        <v>7</v>
      </c>
    </row>
    <row r="37" spans="1:73" x14ac:dyDescent="0.2">
      <c r="A37">
        <v>32</v>
      </c>
      <c r="B37" s="46" t="s">
        <v>31</v>
      </c>
      <c r="C37" s="47">
        <v>56.3</v>
      </c>
      <c r="D37" s="47">
        <v>76.2</v>
      </c>
      <c r="E37" s="47">
        <v>93.8</v>
      </c>
      <c r="F37" s="47">
        <v>3.7</v>
      </c>
      <c r="G37" s="47">
        <v>57.3</v>
      </c>
      <c r="H37" s="47">
        <v>38.1</v>
      </c>
      <c r="I37" s="47">
        <v>69.900000000000006</v>
      </c>
      <c r="J37" s="47">
        <v>72.099999999999994</v>
      </c>
      <c r="K37" s="47">
        <v>75.3</v>
      </c>
      <c r="L37" s="47">
        <v>8.1999999999999993</v>
      </c>
      <c r="M37" s="47">
        <v>33.5</v>
      </c>
      <c r="N37" s="47">
        <v>8</v>
      </c>
      <c r="O37" s="47">
        <v>68.8</v>
      </c>
      <c r="P37" s="47">
        <v>36.5</v>
      </c>
      <c r="Q37" s="47">
        <v>10.9</v>
      </c>
      <c r="R37" s="47">
        <v>9.1999999999999993</v>
      </c>
      <c r="S37" s="47">
        <v>8.5</v>
      </c>
      <c r="T37" s="47">
        <v>7.9</v>
      </c>
      <c r="U37" s="47">
        <v>26.4</v>
      </c>
      <c r="V37" s="47">
        <v>74.7</v>
      </c>
      <c r="W37" s="47">
        <v>63.1</v>
      </c>
      <c r="X37" s="47">
        <v>40.299999999999997</v>
      </c>
      <c r="Y37" s="48">
        <v>21510</v>
      </c>
      <c r="Z37" s="49">
        <v>0.44900000000000001</v>
      </c>
      <c r="AA37" s="48">
        <v>8291</v>
      </c>
      <c r="AB37" s="47">
        <v>45.8</v>
      </c>
      <c r="AC37" s="47">
        <v>3.9</v>
      </c>
      <c r="AD37" s="47">
        <v>23.2</v>
      </c>
      <c r="AE37" s="47">
        <v>61.3</v>
      </c>
      <c r="AF37" s="47">
        <v>3.5</v>
      </c>
      <c r="AG37" s="47">
        <v>58.8</v>
      </c>
      <c r="AH37" s="47">
        <v>16.399999999999999</v>
      </c>
      <c r="AI37" s="47">
        <v>63.4</v>
      </c>
      <c r="AJ37" s="47">
        <v>1.1000000000000001</v>
      </c>
      <c r="AK37" s="47">
        <v>85.8</v>
      </c>
      <c r="AM37" s="47">
        <f t="shared" si="1"/>
        <v>17</v>
      </c>
      <c r="AN37" s="47">
        <f t="shared" si="2"/>
        <v>14</v>
      </c>
      <c r="AO37" s="47">
        <f t="shared" si="3"/>
        <v>13</v>
      </c>
      <c r="AP37" s="47">
        <f t="shared" si="4"/>
        <v>18</v>
      </c>
      <c r="AQ37" s="47">
        <f t="shared" si="5"/>
        <v>9</v>
      </c>
      <c r="AR37" s="47">
        <f t="shared" si="6"/>
        <v>6</v>
      </c>
      <c r="AS37" s="47">
        <f t="shared" si="7"/>
        <v>4</v>
      </c>
      <c r="AT37" s="47">
        <f t="shared" si="8"/>
        <v>21</v>
      </c>
      <c r="AU37" s="47">
        <f t="shared" si="9"/>
        <v>22</v>
      </c>
      <c r="AV37" s="47">
        <f t="shared" si="10"/>
        <v>23</v>
      </c>
      <c r="AW37" s="47">
        <f t="shared" si="11"/>
        <v>20</v>
      </c>
      <c r="AX37" s="47">
        <f t="shared" si="12"/>
        <v>25</v>
      </c>
      <c r="AY37" s="47">
        <f t="shared" si="13"/>
        <v>11</v>
      </c>
      <c r="AZ37" s="47">
        <f t="shared" si="14"/>
        <v>29</v>
      </c>
      <c r="BA37" s="47">
        <f t="shared" si="15"/>
        <v>16</v>
      </c>
      <c r="BB37" s="47">
        <f t="shared" si="16"/>
        <v>25</v>
      </c>
      <c r="BC37" s="47">
        <f t="shared" si="17"/>
        <v>12</v>
      </c>
      <c r="BD37" s="47">
        <f t="shared" si="18"/>
        <v>8</v>
      </c>
      <c r="BE37" s="47">
        <f t="shared" si="19"/>
        <v>17</v>
      </c>
      <c r="BF37" s="47">
        <f t="shared" si="20"/>
        <v>5</v>
      </c>
      <c r="BG37" s="47">
        <f t="shared" si="21"/>
        <v>9</v>
      </c>
      <c r="BH37" s="47">
        <f t="shared" si="22"/>
        <v>14</v>
      </c>
      <c r="BI37" s="47">
        <f t="shared" si="23"/>
        <v>28</v>
      </c>
      <c r="BJ37" s="47">
        <f t="shared" si="24"/>
        <v>10</v>
      </c>
      <c r="BK37" s="47">
        <f t="shared" si="25"/>
        <v>25</v>
      </c>
      <c r="BL37" s="47">
        <f t="shared" si="26"/>
        <v>14</v>
      </c>
      <c r="BM37" s="47">
        <f t="shared" si="27"/>
        <v>19</v>
      </c>
      <c r="BN37" s="47">
        <f t="shared" si="28"/>
        <v>18</v>
      </c>
      <c r="BO37" s="47">
        <f t="shared" si="29"/>
        <v>12</v>
      </c>
      <c r="BP37" s="47">
        <f t="shared" si="30"/>
        <v>15</v>
      </c>
      <c r="BQ37" s="47">
        <f t="shared" si="31"/>
        <v>21</v>
      </c>
      <c r="BR37" s="47">
        <f t="shared" si="32"/>
        <v>28</v>
      </c>
      <c r="BS37" s="47">
        <f t="shared" si="33"/>
        <v>22</v>
      </c>
      <c r="BT37" s="47">
        <f t="shared" si="34"/>
        <v>5</v>
      </c>
      <c r="BU37" s="47">
        <f t="shared" si="35"/>
        <v>14</v>
      </c>
    </row>
    <row r="38" spans="1:73" x14ac:dyDescent="0.2">
      <c r="A38">
        <v>33</v>
      </c>
      <c r="B38" s="42" t="s">
        <v>32</v>
      </c>
      <c r="C38" s="43">
        <v>60.1</v>
      </c>
      <c r="D38" s="43">
        <v>71.8</v>
      </c>
      <c r="E38" s="43">
        <v>90.6</v>
      </c>
      <c r="F38" s="43">
        <v>4</v>
      </c>
      <c r="G38" s="43">
        <v>52.7</v>
      </c>
      <c r="H38" s="43">
        <v>29.4</v>
      </c>
      <c r="I38" s="43">
        <v>60</v>
      </c>
      <c r="J38" s="43">
        <v>72.2</v>
      </c>
      <c r="K38" s="43">
        <v>75.5</v>
      </c>
      <c r="L38" s="43">
        <v>8.3000000000000007</v>
      </c>
      <c r="M38" s="43">
        <v>36.1</v>
      </c>
      <c r="N38" s="43">
        <v>11.1</v>
      </c>
      <c r="O38" s="43">
        <v>58</v>
      </c>
      <c r="P38" s="43">
        <v>45.5</v>
      </c>
      <c r="Q38" s="43">
        <v>10.3</v>
      </c>
      <c r="R38" s="43">
        <v>9.6999999999999993</v>
      </c>
      <c r="S38" s="43">
        <v>8.4</v>
      </c>
      <c r="T38" s="43">
        <v>7.7</v>
      </c>
      <c r="U38" s="43">
        <v>26.6</v>
      </c>
      <c r="V38" s="43">
        <v>28.6</v>
      </c>
      <c r="W38" s="43">
        <v>56</v>
      </c>
      <c r="X38" s="43">
        <v>41.9</v>
      </c>
      <c r="Y38" s="44">
        <v>30601</v>
      </c>
      <c r="Z38" s="45">
        <v>0.45</v>
      </c>
      <c r="AA38" s="44">
        <v>9633</v>
      </c>
      <c r="AB38" s="43">
        <v>43.9</v>
      </c>
      <c r="AC38" s="43">
        <v>8.5</v>
      </c>
      <c r="AD38" s="43">
        <v>24.9</v>
      </c>
      <c r="AE38" s="43">
        <v>55.9</v>
      </c>
      <c r="AF38" s="43">
        <v>4.0999999999999996</v>
      </c>
      <c r="AG38" s="43">
        <v>58.8</v>
      </c>
      <c r="AH38" s="43">
        <v>20.100000000000001</v>
      </c>
      <c r="AI38" s="43">
        <v>74.400000000000006</v>
      </c>
      <c r="AJ38" s="43">
        <v>1</v>
      </c>
      <c r="AK38" s="43">
        <v>79</v>
      </c>
      <c r="AM38" s="47"/>
      <c r="AN38" s="47"/>
      <c r="AO38" s="47"/>
      <c r="AP38" s="47"/>
      <c r="AQ38" s="47"/>
      <c r="AR38" s="47"/>
      <c r="AS38" s="47"/>
      <c r="AT38" s="47"/>
      <c r="AU38" s="47"/>
      <c r="AV38" s="47"/>
      <c r="AW38" s="47"/>
      <c r="AX38" s="47"/>
      <c r="AY38" s="47"/>
      <c r="AZ38" s="47"/>
      <c r="BA38" s="47"/>
      <c r="BB38" s="47"/>
      <c r="BC38" s="47"/>
      <c r="BD38" s="47"/>
      <c r="BE38" s="47"/>
      <c r="BF38" s="47"/>
      <c r="BG38" s="47"/>
      <c r="BH38" s="47"/>
      <c r="BI38" s="47"/>
      <c r="BJ38" s="47"/>
      <c r="BK38" s="47"/>
      <c r="BL38" s="47"/>
      <c r="BM38" s="47"/>
      <c r="BN38" s="47"/>
      <c r="BO38" s="47"/>
      <c r="BP38" s="47"/>
      <c r="BQ38" s="47"/>
      <c r="BR38" s="47"/>
      <c r="BS38" s="47"/>
      <c r="BT38" s="47"/>
      <c r="BU38" s="47"/>
    </row>
  </sheetData>
  <mergeCells count="21">
    <mergeCell ref="T2:U2"/>
    <mergeCell ref="B2:B3"/>
    <mergeCell ref="C2:E2"/>
    <mergeCell ref="F2:I2"/>
    <mergeCell ref="K2:O2"/>
    <mergeCell ref="P2:R2"/>
    <mergeCell ref="V2:Y2"/>
    <mergeCell ref="Z2:AC2"/>
    <mergeCell ref="AD2:AG2"/>
    <mergeCell ref="AH2:AI2"/>
    <mergeCell ref="AJ2:AK2"/>
    <mergeCell ref="AM2:AO2"/>
    <mergeCell ref="AP2:AS2"/>
    <mergeCell ref="AU2:AY2"/>
    <mergeCell ref="AZ2:BB2"/>
    <mergeCell ref="BD2:BE2"/>
    <mergeCell ref="BF2:BI2"/>
    <mergeCell ref="BJ2:BM2"/>
    <mergeCell ref="BN2:BQ2"/>
    <mergeCell ref="BR2:BS2"/>
    <mergeCell ref="BT2:BU2"/>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3EFB00-9077-41CF-A655-0F46B4167926}">
  <dimension ref="A1:N67"/>
  <sheetViews>
    <sheetView showGridLines="0" workbookViewId="0">
      <pane ySplit="3" topLeftCell="A4" activePane="bottomLeft" state="frozen"/>
      <selection pane="bottomLeft" activeCell="A4" sqref="A4"/>
    </sheetView>
  </sheetViews>
  <sheetFormatPr baseColWidth="10" defaultRowHeight="10.199999999999999" x14ac:dyDescent="0.2"/>
  <cols>
    <col min="1" max="1" width="11.42578125" style="2"/>
    <col min="2" max="2" width="18.42578125" style="2" customWidth="1"/>
    <col min="3" max="3" width="47.85546875" style="2" customWidth="1"/>
    <col min="4" max="4" width="20.7109375" style="3" customWidth="1"/>
    <col min="5" max="5" width="8.7109375" style="2" bestFit="1" customWidth="1"/>
    <col min="6" max="6" width="8.7109375" style="2" customWidth="1"/>
    <col min="7" max="7" width="3.5703125" style="3" customWidth="1"/>
    <col min="8" max="8" width="3.42578125" style="4" customWidth="1"/>
    <col min="9" max="9" width="3.7109375" style="4" customWidth="1"/>
    <col min="10" max="10" width="18.7109375" style="4" customWidth="1"/>
    <col min="11" max="11" width="43.140625" style="4" bestFit="1" customWidth="1"/>
    <col min="12" max="12" width="18.140625" style="3" bestFit="1" customWidth="1"/>
    <col min="13" max="13" width="3.5703125" style="4" customWidth="1"/>
    <col min="14" max="16384" width="11.42578125" style="4"/>
  </cols>
  <sheetData>
    <row r="1" spans="1:14" ht="15.6" x14ac:dyDescent="0.3">
      <c r="A1" s="1"/>
      <c r="B1" s="186" t="s">
        <v>68</v>
      </c>
      <c r="C1" s="186"/>
      <c r="D1" s="186"/>
      <c r="J1" s="186" t="s">
        <v>64</v>
      </c>
      <c r="K1" s="186"/>
      <c r="L1" s="186"/>
    </row>
    <row r="2" spans="1:14" x14ac:dyDescent="0.2">
      <c r="J2" s="3"/>
      <c r="K2" s="2"/>
      <c r="L2" s="2"/>
    </row>
    <row r="3" spans="1:14" s="8" customFormat="1" ht="13.2" x14ac:dyDescent="0.25">
      <c r="A3" s="5"/>
      <c r="B3" s="32" t="s">
        <v>58</v>
      </c>
      <c r="C3" s="32" t="s">
        <v>119</v>
      </c>
      <c r="D3" s="32" t="s">
        <v>60</v>
      </c>
      <c r="E3" s="5"/>
      <c r="F3" s="5"/>
      <c r="G3" s="7"/>
      <c r="H3" s="5"/>
      <c r="J3" s="32" t="s">
        <v>58</v>
      </c>
      <c r="K3" s="32" t="s">
        <v>119</v>
      </c>
      <c r="L3" s="32" t="s">
        <v>60</v>
      </c>
    </row>
    <row r="4" spans="1:14" s="8" customFormat="1" ht="13.2" x14ac:dyDescent="0.25">
      <c r="A4" s="5"/>
      <c r="B4" s="19"/>
      <c r="C4" s="20"/>
      <c r="D4" s="20"/>
      <c r="E4" s="5"/>
      <c r="F4" s="5"/>
      <c r="G4" s="7"/>
      <c r="H4" s="5"/>
      <c r="J4" s="6"/>
      <c r="K4" s="6"/>
      <c r="L4" s="6"/>
    </row>
    <row r="5" spans="1:14" s="11" customFormat="1" ht="13.2" x14ac:dyDescent="0.25">
      <c r="A5" s="9"/>
      <c r="B5" s="181" t="s">
        <v>66</v>
      </c>
      <c r="C5" s="183" t="s">
        <v>59</v>
      </c>
      <c r="D5" s="26" t="s">
        <v>37</v>
      </c>
      <c r="E5" s="10"/>
      <c r="F5" s="10"/>
      <c r="G5" s="9"/>
      <c r="J5" s="180" t="s">
        <v>66</v>
      </c>
      <c r="K5" s="183" t="s">
        <v>59</v>
      </c>
      <c r="L5" s="21" t="s">
        <v>37</v>
      </c>
    </row>
    <row r="6" spans="1:14" s="11" customFormat="1" ht="13.2" x14ac:dyDescent="0.25">
      <c r="A6" s="10"/>
      <c r="B6" s="181"/>
      <c r="C6" s="183"/>
      <c r="D6" s="26" t="s">
        <v>38</v>
      </c>
      <c r="E6" s="10"/>
      <c r="F6" s="10"/>
      <c r="G6" s="12"/>
      <c r="J6" s="180"/>
      <c r="K6" s="183"/>
      <c r="L6" s="21" t="s">
        <v>38</v>
      </c>
    </row>
    <row r="7" spans="1:14" s="11" customFormat="1" ht="13.2" x14ac:dyDescent="0.25">
      <c r="A7" s="10"/>
      <c r="B7" s="181"/>
      <c r="C7" s="183"/>
      <c r="D7" s="26" t="s">
        <v>53</v>
      </c>
      <c r="E7" s="10"/>
      <c r="F7" s="10"/>
      <c r="G7" s="12"/>
      <c r="H7" s="10"/>
      <c r="J7" s="180"/>
      <c r="K7" s="183"/>
      <c r="L7" s="21" t="s">
        <v>53</v>
      </c>
    </row>
    <row r="8" spans="1:14" s="11" customFormat="1" ht="13.2" x14ac:dyDescent="0.25">
      <c r="A8" s="10"/>
      <c r="B8" s="181"/>
      <c r="C8" s="183" t="s">
        <v>35</v>
      </c>
      <c r="D8" s="26" t="s">
        <v>37</v>
      </c>
      <c r="E8" s="10"/>
      <c r="F8" s="10"/>
      <c r="G8" s="12"/>
      <c r="J8" s="180"/>
      <c r="K8" s="183" t="s">
        <v>35</v>
      </c>
      <c r="L8" s="21" t="s">
        <v>37</v>
      </c>
    </row>
    <row r="9" spans="1:14" s="11" customFormat="1" ht="13.2" x14ac:dyDescent="0.25">
      <c r="A9" s="10"/>
      <c r="B9" s="181"/>
      <c r="C9" s="182"/>
      <c r="D9" s="26" t="s">
        <v>38</v>
      </c>
      <c r="E9" s="10"/>
      <c r="F9" s="10"/>
      <c r="G9" s="12"/>
      <c r="H9" s="10"/>
      <c r="J9" s="180"/>
      <c r="K9" s="182"/>
      <c r="L9" s="21" t="s">
        <v>38</v>
      </c>
      <c r="N9" s="10"/>
    </row>
    <row r="10" spans="1:14" s="11" customFormat="1" ht="13.2" x14ac:dyDescent="0.25">
      <c r="A10" s="10"/>
      <c r="B10" s="181"/>
      <c r="C10" s="182"/>
      <c r="D10" s="26" t="s">
        <v>53</v>
      </c>
      <c r="E10" s="10"/>
      <c r="F10" s="10"/>
      <c r="G10" s="12"/>
      <c r="H10" s="10"/>
      <c r="J10" s="180"/>
      <c r="K10" s="182"/>
      <c r="L10" s="21" t="s">
        <v>53</v>
      </c>
      <c r="N10" s="10"/>
    </row>
    <row r="11" spans="1:14" s="11" customFormat="1" ht="13.2" x14ac:dyDescent="0.25">
      <c r="A11" s="10"/>
      <c r="B11" s="181"/>
      <c r="C11" s="21" t="s">
        <v>65</v>
      </c>
      <c r="D11" s="26"/>
      <c r="E11" s="10"/>
      <c r="F11" s="10"/>
      <c r="G11" s="12"/>
      <c r="J11" s="180"/>
      <c r="K11" s="21" t="s">
        <v>65</v>
      </c>
      <c r="L11" s="21"/>
    </row>
    <row r="12" spans="1:14" s="11" customFormat="1" ht="13.2" x14ac:dyDescent="0.25">
      <c r="A12" s="10"/>
      <c r="B12" s="14"/>
      <c r="C12" s="14"/>
      <c r="D12" s="15"/>
      <c r="E12" s="10"/>
      <c r="F12" s="10"/>
      <c r="G12" s="12"/>
      <c r="I12" s="10"/>
      <c r="J12" s="15"/>
      <c r="K12" s="14"/>
      <c r="L12" s="14"/>
      <c r="N12" s="10"/>
    </row>
    <row r="13" spans="1:14" s="11" customFormat="1" ht="13.2" x14ac:dyDescent="0.25">
      <c r="A13" s="10"/>
      <c r="B13" s="181" t="s">
        <v>34</v>
      </c>
      <c r="C13" s="21" t="s">
        <v>34</v>
      </c>
      <c r="D13" s="26" t="s">
        <v>37</v>
      </c>
      <c r="E13" s="10"/>
      <c r="F13" s="10"/>
      <c r="G13" s="12"/>
      <c r="I13" s="10"/>
      <c r="J13" s="180" t="s">
        <v>34</v>
      </c>
      <c r="K13" s="21" t="s">
        <v>34</v>
      </c>
      <c r="L13" s="21" t="s">
        <v>37</v>
      </c>
      <c r="N13" s="10"/>
    </row>
    <row r="14" spans="1:14" s="11" customFormat="1" ht="13.2" x14ac:dyDescent="0.25">
      <c r="A14" s="10"/>
      <c r="B14" s="182"/>
      <c r="C14" s="21" t="s">
        <v>61</v>
      </c>
      <c r="D14" s="26" t="s">
        <v>37</v>
      </c>
      <c r="E14" s="10"/>
      <c r="F14" s="10"/>
      <c r="G14" s="12"/>
      <c r="J14" s="188"/>
      <c r="K14" s="21" t="s">
        <v>61</v>
      </c>
      <c r="L14" s="21" t="s">
        <v>37</v>
      </c>
    </row>
    <row r="15" spans="1:14" s="11" customFormat="1" ht="13.2" x14ac:dyDescent="0.25">
      <c r="A15" s="10"/>
      <c r="B15" s="182"/>
      <c r="C15" s="21" t="s">
        <v>62</v>
      </c>
      <c r="D15" s="26" t="s">
        <v>37</v>
      </c>
      <c r="E15" s="10"/>
      <c r="F15" s="10"/>
      <c r="G15" s="12"/>
      <c r="I15" s="10"/>
      <c r="J15" s="188"/>
      <c r="K15" s="21" t="s">
        <v>62</v>
      </c>
      <c r="L15" s="21" t="s">
        <v>37</v>
      </c>
    </row>
    <row r="16" spans="1:14" s="11" customFormat="1" ht="13.2" x14ac:dyDescent="0.25">
      <c r="A16" s="10"/>
      <c r="B16" s="13"/>
      <c r="C16" s="14"/>
      <c r="D16" s="15"/>
      <c r="E16" s="10"/>
      <c r="F16" s="10"/>
      <c r="G16" s="12"/>
      <c r="I16" s="10"/>
      <c r="J16" s="15"/>
      <c r="K16" s="14"/>
      <c r="L16" s="14"/>
    </row>
    <row r="17" spans="1:12" s="11" customFormat="1" ht="13.2" x14ac:dyDescent="0.25">
      <c r="A17" s="10"/>
      <c r="B17" s="27" t="s">
        <v>80</v>
      </c>
      <c r="C17" s="21" t="s">
        <v>81</v>
      </c>
      <c r="D17" s="26"/>
      <c r="E17" s="10"/>
      <c r="F17" s="10"/>
      <c r="G17" s="12"/>
      <c r="J17" s="180" t="s">
        <v>67</v>
      </c>
      <c r="K17" s="31" t="s">
        <v>62</v>
      </c>
      <c r="L17" s="21" t="s">
        <v>37</v>
      </c>
    </row>
    <row r="18" spans="1:12" s="11" customFormat="1" ht="13.2" x14ac:dyDescent="0.25">
      <c r="A18" s="10"/>
      <c r="B18" s="16"/>
      <c r="C18" s="14"/>
      <c r="D18" s="15"/>
      <c r="E18" s="10"/>
      <c r="F18" s="10"/>
      <c r="G18" s="12"/>
      <c r="J18" s="180"/>
      <c r="K18" s="21" t="s">
        <v>63</v>
      </c>
      <c r="L18" s="21" t="s">
        <v>37</v>
      </c>
    </row>
    <row r="19" spans="1:12" s="11" customFormat="1" ht="26.4" customHeight="1" x14ac:dyDescent="0.25">
      <c r="A19" s="10"/>
      <c r="B19" s="181" t="s">
        <v>84</v>
      </c>
      <c r="C19" s="22" t="s">
        <v>82</v>
      </c>
      <c r="D19" s="21"/>
      <c r="E19" s="10"/>
      <c r="F19" s="10"/>
      <c r="G19" s="12"/>
      <c r="J19" s="18"/>
    </row>
    <row r="20" spans="1:12" s="11" customFormat="1" ht="13.2" x14ac:dyDescent="0.25">
      <c r="A20" s="10"/>
      <c r="B20" s="181"/>
      <c r="C20" s="22" t="s">
        <v>83</v>
      </c>
      <c r="D20" s="21"/>
      <c r="E20" s="10"/>
      <c r="F20" s="10"/>
      <c r="G20" s="12"/>
      <c r="J20" s="17"/>
    </row>
    <row r="21" spans="1:12" s="11" customFormat="1" ht="13.2" x14ac:dyDescent="0.25">
      <c r="A21" s="10"/>
      <c r="B21" s="14"/>
      <c r="C21" s="14"/>
      <c r="D21" s="15"/>
      <c r="E21" s="10"/>
      <c r="F21" s="10"/>
      <c r="G21" s="12"/>
      <c r="L21" s="12"/>
    </row>
    <row r="22" spans="1:12" s="11" customFormat="1" ht="13.2" x14ac:dyDescent="0.25">
      <c r="A22" s="10"/>
      <c r="B22" s="181" t="s">
        <v>69</v>
      </c>
      <c r="C22" s="21" t="s">
        <v>85</v>
      </c>
      <c r="D22" s="26"/>
      <c r="E22" s="10"/>
      <c r="F22" s="10"/>
      <c r="G22" s="12"/>
      <c r="L22" s="12"/>
    </row>
    <row r="23" spans="1:12" s="11" customFormat="1" ht="13.2" x14ac:dyDescent="0.25">
      <c r="A23" s="10"/>
      <c r="B23" s="182"/>
      <c r="C23" s="21" t="s">
        <v>86</v>
      </c>
      <c r="D23" s="26"/>
      <c r="E23" s="10"/>
      <c r="F23" s="10"/>
      <c r="G23" s="12"/>
      <c r="L23" s="12"/>
    </row>
    <row r="24" spans="1:12" s="11" customFormat="1" ht="13.2" customHeight="1" x14ac:dyDescent="0.25">
      <c r="A24" s="10"/>
      <c r="B24" s="182"/>
      <c r="C24" s="21" t="s">
        <v>87</v>
      </c>
      <c r="D24" s="26"/>
      <c r="E24" s="10"/>
      <c r="F24" s="10"/>
      <c r="G24" s="12"/>
      <c r="L24" s="12"/>
    </row>
    <row r="25" spans="1:12" s="11" customFormat="1" ht="13.2" x14ac:dyDescent="0.25">
      <c r="A25" s="10"/>
      <c r="B25" s="14"/>
      <c r="C25" s="14"/>
      <c r="D25" s="15"/>
      <c r="E25" s="10"/>
      <c r="F25" s="10"/>
      <c r="G25" s="12"/>
      <c r="L25" s="12"/>
    </row>
    <row r="26" spans="1:12" s="11" customFormat="1" ht="13.2" x14ac:dyDescent="0.25">
      <c r="A26" s="10"/>
      <c r="B26" s="181" t="s">
        <v>70</v>
      </c>
      <c r="C26" s="21" t="s">
        <v>88</v>
      </c>
      <c r="D26" s="26"/>
      <c r="E26" s="10"/>
      <c r="F26" s="10"/>
      <c r="G26" s="12"/>
      <c r="L26" s="12"/>
    </row>
    <row r="27" spans="1:12" s="11" customFormat="1" ht="13.2" x14ac:dyDescent="0.25">
      <c r="A27" s="10"/>
      <c r="B27" s="181"/>
      <c r="C27" s="21" t="s">
        <v>89</v>
      </c>
      <c r="D27" s="26"/>
      <c r="E27" s="10"/>
      <c r="F27" s="10"/>
      <c r="G27" s="12"/>
      <c r="L27" s="12"/>
    </row>
    <row r="28" spans="1:12" s="11" customFormat="1" ht="26.4" x14ac:dyDescent="0.25">
      <c r="A28" s="10"/>
      <c r="B28" s="181"/>
      <c r="C28" s="21" t="s">
        <v>90</v>
      </c>
      <c r="D28" s="26"/>
      <c r="E28" s="10"/>
      <c r="F28" s="10"/>
      <c r="G28" s="12"/>
      <c r="L28" s="12"/>
    </row>
    <row r="29" spans="1:12" s="11" customFormat="1" ht="13.2" x14ac:dyDescent="0.25">
      <c r="A29" s="10"/>
      <c r="B29" s="181"/>
      <c r="C29" s="21" t="s">
        <v>91</v>
      </c>
      <c r="D29" s="26"/>
      <c r="E29" s="10"/>
      <c r="F29" s="10"/>
      <c r="G29" s="12"/>
      <c r="L29" s="12"/>
    </row>
    <row r="30" spans="1:12" s="11" customFormat="1" ht="13.2" x14ac:dyDescent="0.25">
      <c r="A30" s="10"/>
      <c r="B30" s="14"/>
      <c r="C30" s="23"/>
      <c r="D30" s="15"/>
      <c r="E30" s="10"/>
      <c r="F30" s="10"/>
      <c r="G30" s="12"/>
      <c r="L30" s="12"/>
    </row>
    <row r="31" spans="1:12" s="11" customFormat="1" ht="39.6" x14ac:dyDescent="0.25">
      <c r="A31" s="10"/>
      <c r="B31" s="28" t="s">
        <v>71</v>
      </c>
      <c r="C31" s="22" t="s">
        <v>92</v>
      </c>
      <c r="D31" s="29"/>
      <c r="E31" s="10"/>
      <c r="F31" s="10"/>
      <c r="G31" s="12"/>
      <c r="L31" s="12"/>
    </row>
    <row r="32" spans="1:12" s="11" customFormat="1" ht="13.2" x14ac:dyDescent="0.25">
      <c r="A32" s="10"/>
      <c r="B32" s="14"/>
      <c r="C32" s="14"/>
      <c r="D32" s="15"/>
      <c r="E32" s="10"/>
      <c r="F32" s="10"/>
      <c r="G32" s="12"/>
      <c r="L32" s="12"/>
    </row>
    <row r="33" spans="1:12" s="11" customFormat="1" ht="13.2" x14ac:dyDescent="0.25">
      <c r="A33" s="10"/>
      <c r="B33" s="181" t="s">
        <v>72</v>
      </c>
      <c r="C33" s="21" t="s">
        <v>93</v>
      </c>
      <c r="D33" s="26"/>
      <c r="E33" s="10"/>
      <c r="F33" s="10"/>
      <c r="G33" s="12"/>
      <c r="L33" s="12"/>
    </row>
    <row r="34" spans="1:12" s="11" customFormat="1" ht="13.2" x14ac:dyDescent="0.25">
      <c r="A34" s="10"/>
      <c r="B34" s="181"/>
      <c r="C34" s="21" t="s">
        <v>94</v>
      </c>
      <c r="D34" s="26"/>
      <c r="E34" s="10"/>
      <c r="F34" s="10"/>
      <c r="G34" s="12"/>
      <c r="L34" s="12"/>
    </row>
    <row r="35" spans="1:12" s="11" customFormat="1" ht="13.2" x14ac:dyDescent="0.25">
      <c r="A35" s="10"/>
      <c r="B35" s="181"/>
      <c r="C35" s="21" t="s">
        <v>95</v>
      </c>
      <c r="D35" s="26"/>
      <c r="E35" s="10"/>
      <c r="F35" s="10"/>
      <c r="G35" s="12"/>
      <c r="L35" s="12"/>
    </row>
    <row r="36" spans="1:12" s="11" customFormat="1" ht="13.2" x14ac:dyDescent="0.25">
      <c r="A36" s="10"/>
      <c r="B36" s="181"/>
      <c r="C36" s="21" t="s">
        <v>96</v>
      </c>
      <c r="D36" s="26"/>
      <c r="E36" s="10"/>
      <c r="F36" s="10"/>
      <c r="G36" s="12"/>
      <c r="L36" s="12"/>
    </row>
    <row r="37" spans="1:12" s="11" customFormat="1" ht="26.4" x14ac:dyDescent="0.25">
      <c r="A37" s="10"/>
      <c r="B37" s="181"/>
      <c r="C37" s="21" t="s">
        <v>97</v>
      </c>
      <c r="D37" s="26"/>
      <c r="E37" s="10"/>
      <c r="F37" s="10"/>
      <c r="G37" s="12"/>
      <c r="L37" s="12"/>
    </row>
    <row r="38" spans="1:12" s="11" customFormat="1" ht="13.2" x14ac:dyDescent="0.25">
      <c r="A38" s="10"/>
      <c r="B38" s="14"/>
      <c r="C38" s="14"/>
      <c r="D38" s="15"/>
      <c r="E38" s="10"/>
      <c r="F38" s="10"/>
      <c r="G38" s="12"/>
      <c r="L38" s="12"/>
    </row>
    <row r="39" spans="1:12" s="11" customFormat="1" ht="13.2" x14ac:dyDescent="0.25">
      <c r="A39" s="10"/>
      <c r="B39" s="181" t="s">
        <v>67</v>
      </c>
      <c r="C39" s="21" t="s">
        <v>98</v>
      </c>
      <c r="D39" s="26"/>
      <c r="E39" s="10"/>
      <c r="F39" s="10"/>
      <c r="G39" s="12"/>
      <c r="L39" s="12"/>
    </row>
    <row r="40" spans="1:12" s="11" customFormat="1" ht="13.2" x14ac:dyDescent="0.25">
      <c r="A40" s="10"/>
      <c r="B40" s="181"/>
      <c r="C40" s="21" t="s">
        <v>99</v>
      </c>
      <c r="D40" s="26"/>
      <c r="E40" s="10"/>
      <c r="F40" s="10"/>
      <c r="G40" s="12"/>
      <c r="L40" s="12"/>
    </row>
    <row r="41" spans="1:12" s="11" customFormat="1" ht="13.2" x14ac:dyDescent="0.25">
      <c r="A41" s="10"/>
      <c r="B41" s="181"/>
      <c r="C41" s="21" t="s">
        <v>100</v>
      </c>
      <c r="D41" s="26"/>
      <c r="E41" s="10"/>
      <c r="F41" s="10"/>
      <c r="G41" s="12"/>
      <c r="L41" s="12"/>
    </row>
    <row r="42" spans="1:12" s="11" customFormat="1" ht="26.4" customHeight="1" x14ac:dyDescent="0.25">
      <c r="A42" s="10"/>
      <c r="B42" s="14"/>
      <c r="C42" s="14"/>
      <c r="D42" s="15"/>
      <c r="E42" s="10"/>
      <c r="F42" s="10"/>
      <c r="G42" s="12"/>
      <c r="L42" s="12"/>
    </row>
    <row r="43" spans="1:12" s="11" customFormat="1" ht="26.4" x14ac:dyDescent="0.25">
      <c r="A43" s="10"/>
      <c r="B43" s="28" t="s">
        <v>73</v>
      </c>
      <c r="C43" s="22" t="s">
        <v>73</v>
      </c>
      <c r="D43" s="26"/>
      <c r="E43" s="10"/>
      <c r="F43" s="10"/>
      <c r="G43" s="12"/>
      <c r="L43" s="12"/>
    </row>
    <row r="44" spans="1:12" s="11" customFormat="1" ht="13.2" x14ac:dyDescent="0.25">
      <c r="A44" s="10"/>
      <c r="B44" s="14"/>
      <c r="C44" s="14"/>
      <c r="D44" s="15"/>
      <c r="E44" s="10"/>
      <c r="F44" s="10"/>
      <c r="G44" s="12"/>
      <c r="L44" s="12"/>
    </row>
    <row r="45" spans="1:12" s="11" customFormat="1" ht="13.2" x14ac:dyDescent="0.25">
      <c r="A45" s="10"/>
      <c r="B45" s="181" t="s">
        <v>74</v>
      </c>
      <c r="C45" s="22" t="s">
        <v>101</v>
      </c>
      <c r="D45" s="29"/>
      <c r="E45" s="10"/>
      <c r="F45" s="10"/>
      <c r="G45" s="12"/>
      <c r="L45" s="12"/>
    </row>
    <row r="46" spans="1:12" s="11" customFormat="1" ht="26.4" x14ac:dyDescent="0.25">
      <c r="A46" s="10"/>
      <c r="B46" s="181"/>
      <c r="C46" s="22" t="s">
        <v>102</v>
      </c>
      <c r="D46" s="29"/>
      <c r="E46" s="10"/>
      <c r="F46" s="10"/>
      <c r="G46" s="12"/>
      <c r="L46" s="12"/>
    </row>
    <row r="47" spans="1:12" s="11" customFormat="1" ht="13.2" x14ac:dyDescent="0.25">
      <c r="A47" s="10"/>
      <c r="B47" s="14"/>
      <c r="C47" s="14"/>
      <c r="D47" s="15"/>
      <c r="E47" s="10"/>
      <c r="F47" s="10"/>
      <c r="G47" s="12"/>
      <c r="L47" s="12"/>
    </row>
    <row r="48" spans="1:12" s="11" customFormat="1" ht="13.2" x14ac:dyDescent="0.25">
      <c r="A48" s="10"/>
      <c r="B48" s="184" t="s">
        <v>75</v>
      </c>
      <c r="C48" s="21" t="s">
        <v>103</v>
      </c>
      <c r="D48" s="26"/>
      <c r="E48" s="10"/>
      <c r="F48" s="10"/>
      <c r="G48" s="12"/>
      <c r="L48" s="12"/>
    </row>
    <row r="49" spans="1:12" s="11" customFormat="1" ht="13.2" x14ac:dyDescent="0.25">
      <c r="A49" s="10"/>
      <c r="B49" s="187"/>
      <c r="C49" s="21" t="s">
        <v>104</v>
      </c>
      <c r="D49" s="26"/>
      <c r="E49" s="10"/>
      <c r="F49" s="10"/>
      <c r="G49" s="12"/>
      <c r="L49" s="12"/>
    </row>
    <row r="50" spans="1:12" s="11" customFormat="1" ht="13.2" x14ac:dyDescent="0.25">
      <c r="A50" s="10"/>
      <c r="B50" s="187"/>
      <c r="C50" s="21" t="s">
        <v>105</v>
      </c>
      <c r="D50" s="26"/>
      <c r="E50" s="10"/>
      <c r="F50" s="10"/>
      <c r="G50" s="12"/>
      <c r="L50" s="12"/>
    </row>
    <row r="51" spans="1:12" s="11" customFormat="1" ht="26.4" x14ac:dyDescent="0.25">
      <c r="A51" s="10"/>
      <c r="B51" s="185"/>
      <c r="C51" s="21" t="s">
        <v>106</v>
      </c>
      <c r="D51" s="26"/>
      <c r="E51" s="10"/>
      <c r="F51" s="10"/>
      <c r="G51" s="12"/>
      <c r="L51" s="12"/>
    </row>
    <row r="52" spans="1:12" s="11" customFormat="1" ht="13.2" x14ac:dyDescent="0.25">
      <c r="A52" s="10"/>
      <c r="B52" s="14"/>
      <c r="C52" s="14"/>
      <c r="D52" s="15"/>
      <c r="E52" s="10"/>
      <c r="F52" s="10"/>
      <c r="G52" s="12"/>
      <c r="L52" s="12"/>
    </row>
    <row r="53" spans="1:12" s="11" customFormat="1" ht="26.4" x14ac:dyDescent="0.25">
      <c r="A53" s="10"/>
      <c r="B53" s="181" t="s">
        <v>76</v>
      </c>
      <c r="C53" s="21" t="s">
        <v>107</v>
      </c>
      <c r="D53" s="26"/>
      <c r="E53" s="10"/>
      <c r="F53" s="10"/>
      <c r="G53" s="12"/>
      <c r="L53" s="12"/>
    </row>
    <row r="54" spans="1:12" s="11" customFormat="1" ht="26.4" x14ac:dyDescent="0.25">
      <c r="A54" s="10"/>
      <c r="B54" s="181"/>
      <c r="C54" s="21" t="s">
        <v>108</v>
      </c>
      <c r="D54" s="26"/>
      <c r="E54" s="10"/>
      <c r="F54" s="10"/>
      <c r="G54" s="12"/>
      <c r="L54" s="12"/>
    </row>
    <row r="55" spans="1:12" s="11" customFormat="1" ht="26.4" x14ac:dyDescent="0.25">
      <c r="A55" s="10"/>
      <c r="B55" s="181"/>
      <c r="C55" s="21" t="s">
        <v>109</v>
      </c>
      <c r="D55" s="26"/>
      <c r="E55" s="10"/>
      <c r="F55" s="10"/>
      <c r="G55" s="12"/>
      <c r="L55" s="12"/>
    </row>
    <row r="56" spans="1:12" s="11" customFormat="1" ht="26.4" x14ac:dyDescent="0.25">
      <c r="A56" s="10"/>
      <c r="B56" s="181"/>
      <c r="C56" s="21" t="s">
        <v>110</v>
      </c>
      <c r="D56" s="26"/>
      <c r="E56" s="10"/>
      <c r="F56" s="10"/>
      <c r="G56" s="12"/>
      <c r="L56" s="12"/>
    </row>
    <row r="57" spans="1:12" s="11" customFormat="1" ht="13.2" x14ac:dyDescent="0.25">
      <c r="A57" s="10"/>
      <c r="B57" s="14"/>
      <c r="C57" s="14"/>
      <c r="D57" s="15"/>
      <c r="E57" s="10"/>
      <c r="F57" s="10"/>
      <c r="G57" s="12"/>
      <c r="L57" s="12"/>
    </row>
    <row r="58" spans="1:12" s="11" customFormat="1" ht="13.2" x14ac:dyDescent="0.25">
      <c r="A58" s="10"/>
      <c r="B58" s="181" t="s">
        <v>77</v>
      </c>
      <c r="C58" s="21" t="s">
        <v>111</v>
      </c>
      <c r="D58" s="26"/>
      <c r="E58" s="10"/>
      <c r="F58" s="10"/>
      <c r="G58" s="12"/>
      <c r="L58" s="12"/>
    </row>
    <row r="59" spans="1:12" s="11" customFormat="1" ht="13.2" x14ac:dyDescent="0.25">
      <c r="A59" s="10"/>
      <c r="B59" s="181"/>
      <c r="C59" s="21" t="s">
        <v>112</v>
      </c>
      <c r="D59" s="26"/>
      <c r="E59" s="10"/>
      <c r="F59" s="10"/>
      <c r="G59" s="12"/>
      <c r="L59" s="12"/>
    </row>
    <row r="60" spans="1:12" s="11" customFormat="1" ht="13.2" x14ac:dyDescent="0.25">
      <c r="A60" s="10"/>
      <c r="B60" s="181"/>
      <c r="C60" s="21" t="s">
        <v>113</v>
      </c>
      <c r="D60" s="26"/>
      <c r="E60" s="10"/>
      <c r="F60" s="10"/>
      <c r="G60" s="12"/>
      <c r="L60" s="12"/>
    </row>
    <row r="61" spans="1:12" s="11" customFormat="1" ht="13.2" x14ac:dyDescent="0.25">
      <c r="A61" s="10"/>
      <c r="B61" s="181"/>
      <c r="C61" s="21" t="s">
        <v>114</v>
      </c>
      <c r="D61" s="26"/>
      <c r="E61" s="10"/>
      <c r="F61" s="10"/>
      <c r="G61" s="12"/>
      <c r="L61" s="12"/>
    </row>
    <row r="62" spans="1:12" s="11" customFormat="1" ht="13.2" x14ac:dyDescent="0.25">
      <c r="A62" s="10"/>
      <c r="B62" s="14"/>
      <c r="C62" s="14"/>
      <c r="D62" s="15"/>
      <c r="E62" s="10"/>
      <c r="F62" s="10"/>
      <c r="G62" s="12"/>
      <c r="L62" s="12"/>
    </row>
    <row r="63" spans="1:12" ht="26.4" x14ac:dyDescent="0.25">
      <c r="B63" s="181" t="s">
        <v>78</v>
      </c>
      <c r="C63" s="21" t="s">
        <v>115</v>
      </c>
      <c r="D63" s="30"/>
    </row>
    <row r="64" spans="1:12" ht="13.2" x14ac:dyDescent="0.25">
      <c r="B64" s="181"/>
      <c r="C64" s="21" t="s">
        <v>116</v>
      </c>
      <c r="D64" s="30"/>
    </row>
    <row r="65" spans="2:4" x14ac:dyDescent="0.2">
      <c r="B65" s="24"/>
      <c r="C65" s="24"/>
      <c r="D65" s="25"/>
    </row>
    <row r="66" spans="2:4" ht="13.2" x14ac:dyDescent="0.25">
      <c r="B66" s="184" t="s">
        <v>79</v>
      </c>
      <c r="C66" s="21" t="s">
        <v>117</v>
      </c>
      <c r="D66" s="30"/>
    </row>
    <row r="67" spans="2:4" ht="26.4" x14ac:dyDescent="0.25">
      <c r="B67" s="185"/>
      <c r="C67" s="21" t="s">
        <v>118</v>
      </c>
      <c r="D67" s="30"/>
    </row>
  </sheetData>
  <mergeCells count="22">
    <mergeCell ref="B58:B61"/>
    <mergeCell ref="B63:B64"/>
    <mergeCell ref="B66:B67"/>
    <mergeCell ref="B1:D1"/>
    <mergeCell ref="J1:L1"/>
    <mergeCell ref="B19:B20"/>
    <mergeCell ref="J17:J18"/>
    <mergeCell ref="B33:B37"/>
    <mergeCell ref="B39:B41"/>
    <mergeCell ref="B45:B46"/>
    <mergeCell ref="B48:B51"/>
    <mergeCell ref="B53:B56"/>
    <mergeCell ref="K5:K7"/>
    <mergeCell ref="K8:K10"/>
    <mergeCell ref="J13:J15"/>
    <mergeCell ref="B22:B24"/>
    <mergeCell ref="J5:J11"/>
    <mergeCell ref="B26:B29"/>
    <mergeCell ref="B5:B11"/>
    <mergeCell ref="B13:B15"/>
    <mergeCell ref="C5:C7"/>
    <mergeCell ref="C8:C10"/>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4BDB08-DB53-4576-9972-1632540F1D64}">
  <dimension ref="A1:A34"/>
  <sheetViews>
    <sheetView workbookViewId="0">
      <selection activeCell="A34" sqref="A34"/>
    </sheetView>
  </sheetViews>
  <sheetFormatPr baseColWidth="10" defaultRowHeight="10.199999999999999" x14ac:dyDescent="0.2"/>
  <cols>
    <col min="1" max="1" width="27.140625" bestFit="1" customWidth="1"/>
  </cols>
  <sheetData>
    <row r="1" spans="1:1" x14ac:dyDescent="0.2">
      <c r="A1" t="s">
        <v>241</v>
      </c>
    </row>
    <row r="2" spans="1:1" x14ac:dyDescent="0.2">
      <c r="A2" t="s">
        <v>0</v>
      </c>
    </row>
    <row r="3" spans="1:1" x14ac:dyDescent="0.2">
      <c r="A3" t="s">
        <v>1</v>
      </c>
    </row>
    <row r="4" spans="1:1" x14ac:dyDescent="0.2">
      <c r="A4" t="s">
        <v>2</v>
      </c>
    </row>
    <row r="5" spans="1:1" x14ac:dyDescent="0.2">
      <c r="A5" t="s">
        <v>3</v>
      </c>
    </row>
    <row r="6" spans="1:1" x14ac:dyDescent="0.2">
      <c r="A6" t="s">
        <v>169</v>
      </c>
    </row>
    <row r="7" spans="1:1" x14ac:dyDescent="0.2">
      <c r="A7" t="s">
        <v>5</v>
      </c>
    </row>
    <row r="8" spans="1:1" x14ac:dyDescent="0.2">
      <c r="A8" t="s">
        <v>6</v>
      </c>
    </row>
    <row r="9" spans="1:1" x14ac:dyDescent="0.2">
      <c r="A9" t="s">
        <v>7</v>
      </c>
    </row>
    <row r="10" spans="1:1" x14ac:dyDescent="0.2">
      <c r="A10" t="s">
        <v>8</v>
      </c>
    </row>
    <row r="11" spans="1:1" x14ac:dyDescent="0.2">
      <c r="A11" t="s">
        <v>9</v>
      </c>
    </row>
    <row r="12" spans="1:1" x14ac:dyDescent="0.2">
      <c r="A12" t="s">
        <v>10</v>
      </c>
    </row>
    <row r="13" spans="1:1" x14ac:dyDescent="0.2">
      <c r="A13" t="s">
        <v>11</v>
      </c>
    </row>
    <row r="14" spans="1:1" x14ac:dyDescent="0.2">
      <c r="A14" t="s">
        <v>12</v>
      </c>
    </row>
    <row r="15" spans="1:1" x14ac:dyDescent="0.2">
      <c r="A15" t="s">
        <v>13</v>
      </c>
    </row>
    <row r="16" spans="1:1" x14ac:dyDescent="0.2">
      <c r="A16" t="s">
        <v>14</v>
      </c>
    </row>
    <row r="17" spans="1:1" x14ac:dyDescent="0.2">
      <c r="A17" t="s">
        <v>170</v>
      </c>
    </row>
    <row r="18" spans="1:1" x14ac:dyDescent="0.2">
      <c r="A18" t="s">
        <v>16</v>
      </c>
    </row>
    <row r="19" spans="1:1" x14ac:dyDescent="0.2">
      <c r="A19" t="s">
        <v>17</v>
      </c>
    </row>
    <row r="20" spans="1:1" x14ac:dyDescent="0.2">
      <c r="A20" t="s">
        <v>18</v>
      </c>
    </row>
    <row r="21" spans="1:1" x14ac:dyDescent="0.2">
      <c r="A21" t="s">
        <v>19</v>
      </c>
    </row>
    <row r="22" spans="1:1" x14ac:dyDescent="0.2">
      <c r="A22" t="s">
        <v>20</v>
      </c>
    </row>
    <row r="23" spans="1:1" x14ac:dyDescent="0.2">
      <c r="A23" t="s">
        <v>21</v>
      </c>
    </row>
    <row r="24" spans="1:1" x14ac:dyDescent="0.2">
      <c r="A24" t="s">
        <v>22</v>
      </c>
    </row>
    <row r="25" spans="1:1" x14ac:dyDescent="0.2">
      <c r="A25" t="s">
        <v>23</v>
      </c>
    </row>
    <row r="26" spans="1:1" x14ac:dyDescent="0.2">
      <c r="A26" t="s">
        <v>24</v>
      </c>
    </row>
    <row r="27" spans="1:1" x14ac:dyDescent="0.2">
      <c r="A27" t="s">
        <v>25</v>
      </c>
    </row>
    <row r="28" spans="1:1" x14ac:dyDescent="0.2">
      <c r="A28" t="s">
        <v>26</v>
      </c>
    </row>
    <row r="29" spans="1:1" x14ac:dyDescent="0.2">
      <c r="A29" t="s">
        <v>27</v>
      </c>
    </row>
    <row r="30" spans="1:1" x14ac:dyDescent="0.2">
      <c r="A30" t="s">
        <v>28</v>
      </c>
    </row>
    <row r="31" spans="1:1" x14ac:dyDescent="0.2">
      <c r="A31" t="s">
        <v>171</v>
      </c>
    </row>
    <row r="32" spans="1:1" x14ac:dyDescent="0.2">
      <c r="A32" t="s">
        <v>30</v>
      </c>
    </row>
    <row r="33" spans="1:1" x14ac:dyDescent="0.2">
      <c r="A33" t="s">
        <v>31</v>
      </c>
    </row>
    <row r="34" spans="1:1" x14ac:dyDescent="0.2">
      <c r="A34" t="s">
        <v>277</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F7CDC8DCB275184285BE226C5E51906E" ma:contentTypeVersion="17" ma:contentTypeDescription="Crear nuevo documento." ma:contentTypeScope="" ma:versionID="f5de5993ca131cdcc246049512c2acab">
  <xsd:schema xmlns:xsd="http://www.w3.org/2001/XMLSchema" xmlns:xs="http://www.w3.org/2001/XMLSchema" xmlns:p="http://schemas.microsoft.com/office/2006/metadata/properties" xmlns:ns2="70297c09-2266-483a-852d-4f54da54667b" xmlns:ns3="a707bf9f-ae30-412d-91ad-f897125f477e" xmlns:ns4="67472db0-ce9a-42e0-9e67-4f059b57a863" targetNamespace="http://schemas.microsoft.com/office/2006/metadata/properties" ma:root="true" ma:fieldsID="f7bc8b8d9b64c4acf9716e35c51c9dce" ns2:_="" ns3:_="" ns4:_="">
    <xsd:import namespace="70297c09-2266-483a-852d-4f54da54667b"/>
    <xsd:import namespace="a707bf9f-ae30-412d-91ad-f897125f477e"/>
    <xsd:import namespace="67472db0-ce9a-42e0-9e67-4f059b57a863"/>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3:SharedWithUsers" minOccurs="0"/>
                <xsd:element ref="ns3:SharedWithDetails" minOccurs="0"/>
                <xsd:element ref="ns2:MediaServiceGenerationTime" minOccurs="0"/>
                <xsd:element ref="ns2:MediaServiceEventHashCode" minOccurs="0"/>
                <xsd:element ref="ns2:MediaServiceDateTaken" minOccurs="0"/>
                <xsd:element ref="ns2:Responsable_x0020_de_x0020_seguimiento" minOccurs="0"/>
                <xsd:element ref="ns2:MediaServiceAutoKeyPoints" minOccurs="0"/>
                <xsd:element ref="ns2:MediaServiceKeyPoints" minOccurs="0"/>
                <xsd:element ref="ns2:MediaLengthInSeconds" minOccurs="0"/>
                <xsd:element ref="ns2:lcf76f155ced4ddcb4097134ff3c332f" minOccurs="0"/>
                <xsd:element ref="ns4:TaxCatchAll"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0297c09-2266-483a-852d-4f54da54667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Responsable_x0020_de_x0020_seguimiento" ma:index="17" nillable="true" ma:displayName="Responsable de seguimiento" ma:list="UserInfo" ma:SharePointGroup="0" ma:internalName="Responsable_x0020_de_x0020_seguimiento"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Etiquetas de imagen" ma:readOnly="false" ma:fieldId="{5cf76f15-5ced-4ddc-b409-7134ff3c332f}" ma:taxonomyMulti="true" ma:sspId="b5fe629f-dcd0-4f79-bd36-f65a702dfa88" ma:termSetId="09814cd3-568e-fe90-9814-8d621ff8fb84" ma:anchorId="fba54fb3-c3e1-fe81-a776-ca4b69148c4d" ma:open="true" ma:isKeyword="false">
      <xsd:complexType>
        <xsd:sequence>
          <xsd:element ref="pc:Terms" minOccurs="0" maxOccurs="1"/>
        </xsd:sequence>
      </xsd:complexType>
    </xsd:element>
    <xsd:element name="MediaServiceLocation" ma:index="24"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707bf9f-ae30-412d-91ad-f897125f477e" elementFormDefault="qualified">
    <xsd:import namespace="http://schemas.microsoft.com/office/2006/documentManagement/types"/>
    <xsd:import namespace="http://schemas.microsoft.com/office/infopath/2007/PartnerControls"/>
    <xsd:element name="SharedWithUsers" ma:index="12"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talles de uso compartido"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67472db0-ce9a-42e0-9e67-4f059b57a863"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404d7503-b061-4647-8b4e-09189bc0a191}" ma:internalName="TaxCatchAll" ma:readOnly="false" ma:showField="CatchAllDat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67472db0-ce9a-42e0-9e67-4f059b57a863" xsi:nil="true"/>
    <Responsable_x0020_de_x0020_seguimiento xmlns="70297c09-2266-483a-852d-4f54da54667b">
      <UserInfo>
        <DisplayName/>
        <AccountId xsi:nil="true"/>
        <AccountType/>
      </UserInfo>
    </Responsable_x0020_de_x0020_seguimiento>
    <lcf76f155ced4ddcb4097134ff3c332f xmlns="70297c09-2266-483a-852d-4f54da54667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CF78F6D-536C-46D1-886A-A3B328DC231A}"/>
</file>

<file path=customXml/itemProps2.xml><?xml version="1.0" encoding="utf-8"?>
<ds:datastoreItem xmlns:ds="http://schemas.openxmlformats.org/officeDocument/2006/customXml" ds:itemID="{4EA6E6EB-6A27-4EA3-BA94-EF14EE753954}"/>
</file>

<file path=customXml/itemProps3.xml><?xml version="1.0" encoding="utf-8"?>
<ds:datastoreItem xmlns:ds="http://schemas.openxmlformats.org/officeDocument/2006/customXml" ds:itemID="{F370D0F4-F5E9-423A-99B4-4E073F294275}"/>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1</vt:i4>
      </vt:variant>
    </vt:vector>
  </HeadingPairs>
  <TitlesOfParts>
    <vt:vector size="8" baseType="lpstr">
      <vt:lpstr>Monografía</vt:lpstr>
      <vt:lpstr>BD_Demografía</vt:lpstr>
      <vt:lpstr>BD_ListaNominal</vt:lpstr>
      <vt:lpstr>BD_ParticipaciónCiudadana</vt:lpstr>
      <vt:lpstr>BD_Indicadores</vt:lpstr>
      <vt:lpstr>Esquema</vt:lpstr>
      <vt:lpstr>Catálogo</vt:lpstr>
      <vt:lpstr>BD_Demografía!OLE_LINK1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Benjamín Mendoza Arreguín</dc:creator>
  <cp:lastModifiedBy>Benjamín Mendoza Arreguín</cp:lastModifiedBy>
  <dcterms:created xsi:type="dcterms:W3CDTF">2022-07-25T18:51:10Z</dcterms:created>
  <dcterms:modified xsi:type="dcterms:W3CDTF">2022-08-12T07:12:40Z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0x010100F7CDC8DCB275184285BE226C5E51906E</vt:lpwstr>
  </property>
</Properties>
</file>